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Lars Osterwalder\Documents\Work\3 South Pole Group\2 Projects\4_2 301967 Expansion VPAs Kenya\5 Design Document\"/>
    </mc:Choice>
  </mc:AlternateContent>
  <bookViews>
    <workbookView xWindow="0" yWindow="0" windowWidth="19180" windowHeight="2730" tabRatio="683"/>
  </bookViews>
  <sheets>
    <sheet name="ER Estimation" sheetId="9" r:id="rId1"/>
    <sheet name="Summary" sheetId="10" r:id="rId2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9" i="9" l="1"/>
  <c r="O9" i="9"/>
  <c r="L25" i="9"/>
  <c r="L8" i="9"/>
  <c r="O3" i="9"/>
  <c r="D7" i="10"/>
  <c r="E7" i="10"/>
  <c r="F7" i="10"/>
  <c r="P3" i="9"/>
  <c r="D8" i="10"/>
  <c r="E8" i="10"/>
  <c r="F8" i="10"/>
  <c r="Q9" i="9"/>
  <c r="Q3" i="9"/>
  <c r="D9" i="10"/>
  <c r="E9" i="10"/>
  <c r="F9" i="10"/>
  <c r="R9" i="9"/>
  <c r="R3" i="9"/>
  <c r="D10" i="10"/>
  <c r="E10" i="10"/>
  <c r="F10" i="10"/>
  <c r="S9" i="9"/>
  <c r="S3" i="9"/>
  <c r="D11" i="10"/>
  <c r="E11" i="10"/>
  <c r="F11" i="10"/>
  <c r="T9" i="9"/>
  <c r="T3" i="9"/>
  <c r="D12" i="10"/>
  <c r="E12" i="10"/>
  <c r="F12" i="10"/>
  <c r="M3" i="9"/>
  <c r="D5" i="10"/>
  <c r="E5" i="10"/>
  <c r="F5" i="10"/>
  <c r="N3" i="9"/>
  <c r="D6" i="10"/>
  <c r="E6" i="10"/>
  <c r="F6" i="10"/>
  <c r="F13" i="10"/>
  <c r="F17" i="10"/>
  <c r="M4" i="9"/>
  <c r="M5" i="9"/>
  <c r="N9" i="9"/>
  <c r="N4" i="9"/>
  <c r="N5" i="9"/>
  <c r="O4" i="9"/>
  <c r="O5" i="9"/>
  <c r="P4" i="9"/>
  <c r="P5" i="9"/>
  <c r="Q4" i="9"/>
  <c r="Q5" i="9"/>
  <c r="R4" i="9"/>
  <c r="R5" i="9"/>
  <c r="S4" i="9"/>
  <c r="S5" i="9"/>
  <c r="T4" i="9"/>
  <c r="T5" i="9"/>
  <c r="V5" i="9"/>
  <c r="V9" i="9"/>
  <c r="V4" i="9"/>
  <c r="V3" i="9"/>
  <c r="C10" i="10"/>
  <c r="C11" i="10"/>
  <c r="D13" i="10"/>
  <c r="E13" i="10"/>
  <c r="C13" i="10"/>
</calcChain>
</file>

<file path=xl/sharedStrings.xml><?xml version="1.0" encoding="utf-8"?>
<sst xmlns="http://schemas.openxmlformats.org/spreadsheetml/2006/main" count="79" uniqueCount="59">
  <si>
    <t>Emission Reductions (GS simplified methodology for cookstoves, page 5)</t>
  </si>
  <si>
    <r>
      <t>tCO</t>
    </r>
    <r>
      <rPr>
        <vertAlign val="subscript"/>
        <sz val="11"/>
        <color indexed="8"/>
        <rFont val="Calibri"/>
        <family val="2"/>
        <scheme val="minor"/>
      </rPr>
      <t>2</t>
    </r>
    <r>
      <rPr>
        <sz val="11"/>
        <color indexed="8"/>
        <rFont val="Calibri"/>
        <family val="2"/>
        <scheme val="minor"/>
      </rPr>
      <t>e</t>
    </r>
  </si>
  <si>
    <r>
      <t>N</t>
    </r>
    <r>
      <rPr>
        <i/>
        <vertAlign val="subscript"/>
        <sz val="11"/>
        <color indexed="8"/>
        <rFont val="Calibri"/>
        <family val="2"/>
        <scheme val="minor"/>
      </rPr>
      <t>p,y</t>
    </r>
  </si>
  <si>
    <t>Number of project cookstoves of each age group operational in the year y</t>
  </si>
  <si>
    <t>=</t>
  </si>
  <si>
    <t>Number</t>
  </si>
  <si>
    <r>
      <t>P</t>
    </r>
    <r>
      <rPr>
        <i/>
        <vertAlign val="subscript"/>
        <sz val="11"/>
        <color indexed="8"/>
        <rFont val="Calibri"/>
        <family val="2"/>
        <scheme val="minor"/>
      </rPr>
      <t>y</t>
    </r>
  </si>
  <si>
    <t>Quantity of firewood that is saved in the year y (tonnes per household per year y)</t>
  </si>
  <si>
    <t>t/household/year</t>
  </si>
  <si>
    <r>
      <t>U</t>
    </r>
    <r>
      <rPr>
        <i/>
        <vertAlign val="subscript"/>
        <sz val="11"/>
        <color indexed="8"/>
        <rFont val="Calibri"/>
        <family val="2"/>
        <scheme val="minor"/>
      </rPr>
      <t>p,y</t>
    </r>
  </si>
  <si>
    <t xml:space="preserve">Usage rate for project cookstoves in year y, based on adoption rate and drop off rate revealed by usage surveys </t>
  </si>
  <si>
    <t>Fraction</t>
  </si>
  <si>
    <r>
      <t>f</t>
    </r>
    <r>
      <rPr>
        <i/>
        <vertAlign val="subscript"/>
        <sz val="11"/>
        <color indexed="8"/>
        <rFont val="Calibri"/>
        <family val="2"/>
        <scheme val="minor"/>
      </rPr>
      <t>NRB</t>
    </r>
  </si>
  <si>
    <r>
      <t>EF</t>
    </r>
    <r>
      <rPr>
        <i/>
        <vertAlign val="subscript"/>
        <sz val="11"/>
        <color rgb="FF000000"/>
        <rFont val="Calibri"/>
        <family val="2"/>
        <scheme val="minor"/>
      </rPr>
      <t>b,fuel</t>
    </r>
    <r>
      <rPr>
        <i/>
        <vertAlign val="subscript"/>
        <sz val="8"/>
        <color rgb="FF000000"/>
        <rFont val="Calibri"/>
        <family val="2"/>
        <scheme val="minor"/>
      </rPr>
      <t>, CO2</t>
    </r>
  </si>
  <si>
    <r>
      <t>tCO</t>
    </r>
    <r>
      <rPr>
        <vertAlign val="subscript"/>
        <sz val="11"/>
        <color indexed="8"/>
        <rFont val="Calibri"/>
        <family val="2"/>
        <scheme val="minor"/>
      </rPr>
      <t>2</t>
    </r>
    <r>
      <rPr>
        <sz val="11"/>
        <color indexed="8"/>
        <rFont val="Calibri"/>
        <family val="2"/>
        <scheme val="minor"/>
      </rPr>
      <t>/ton of wood</t>
    </r>
  </si>
  <si>
    <r>
      <t>EF</t>
    </r>
    <r>
      <rPr>
        <i/>
        <vertAlign val="subscript"/>
        <sz val="11"/>
        <color rgb="FF000000"/>
        <rFont val="Calibri"/>
        <family val="2"/>
        <scheme val="minor"/>
      </rPr>
      <t>b,fuel</t>
    </r>
    <r>
      <rPr>
        <i/>
        <vertAlign val="subscript"/>
        <sz val="8"/>
        <color rgb="FF000000"/>
        <rFont val="Calibri"/>
        <family val="2"/>
        <scheme val="minor"/>
      </rPr>
      <t>, non-CO2</t>
    </r>
  </si>
  <si>
    <r>
      <t>DF</t>
    </r>
    <r>
      <rPr>
        <i/>
        <vertAlign val="subscript"/>
        <sz val="11"/>
        <color rgb="FF000000"/>
        <rFont val="Calibri"/>
        <family val="2"/>
        <scheme val="minor"/>
      </rPr>
      <t>b, stove, y</t>
    </r>
  </si>
  <si>
    <r>
      <t>P</t>
    </r>
    <r>
      <rPr>
        <vertAlign val="subscript"/>
        <sz val="11"/>
        <color indexed="8"/>
        <rFont val="Calibri"/>
        <family val="2"/>
        <scheme val="minor"/>
      </rPr>
      <t>y</t>
    </r>
    <r>
      <rPr>
        <sz val="11"/>
        <color indexed="8"/>
        <rFont val="Calibri"/>
        <family val="2"/>
        <scheme val="minor"/>
      </rPr>
      <t xml:space="preserve"> and </t>
    </r>
    <r>
      <rPr>
        <sz val="11"/>
        <color indexed="8"/>
        <rFont val="Arial"/>
        <family val="2"/>
      </rPr>
      <t>η</t>
    </r>
    <r>
      <rPr>
        <vertAlign val="subscript"/>
        <sz val="11"/>
        <color indexed="8"/>
        <rFont val="Calibri"/>
        <family val="2"/>
      </rPr>
      <t>p,y</t>
    </r>
    <r>
      <rPr>
        <sz val="11"/>
        <color indexed="8"/>
        <rFont val="Calibri"/>
        <family val="2"/>
        <scheme val="minor"/>
      </rPr>
      <t xml:space="preserve"> is estimated following the steps below</t>
    </r>
  </si>
  <si>
    <t>Where:</t>
  </si>
  <si>
    <r>
      <t>B</t>
    </r>
    <r>
      <rPr>
        <i/>
        <vertAlign val="subscript"/>
        <sz val="11"/>
        <color indexed="8"/>
        <rFont val="Calibri"/>
        <family val="2"/>
        <scheme val="minor"/>
      </rPr>
      <t>b,y</t>
    </r>
  </si>
  <si>
    <r>
      <t>η</t>
    </r>
    <r>
      <rPr>
        <vertAlign val="subscript"/>
        <sz val="11"/>
        <color indexed="8"/>
        <rFont val="Arial"/>
        <family val="2"/>
      </rPr>
      <t>b</t>
    </r>
  </si>
  <si>
    <r>
      <t>η</t>
    </r>
    <r>
      <rPr>
        <vertAlign val="subscript"/>
        <sz val="11"/>
        <color indexed="8"/>
        <rFont val="Arial"/>
        <family val="2"/>
      </rPr>
      <t>p</t>
    </r>
  </si>
  <si>
    <t>Efficiency of project cookstove determined at the start of the project activity</t>
  </si>
  <si>
    <r>
      <t>η</t>
    </r>
    <r>
      <rPr>
        <vertAlign val="subscript"/>
        <sz val="11"/>
        <color indexed="8"/>
        <rFont val="Arial"/>
        <family val="2"/>
      </rPr>
      <t>p,y</t>
    </r>
  </si>
  <si>
    <r>
      <t>DF</t>
    </r>
    <r>
      <rPr>
        <vertAlign val="subscript"/>
        <sz val="11"/>
        <color indexed="8"/>
        <rFont val="Arial"/>
        <family val="2"/>
      </rPr>
      <t>η</t>
    </r>
  </si>
  <si>
    <t>Discount factor to account for efficiency loss of project cookstove per year of operation (default value 1%)</t>
  </si>
  <si>
    <t>Fraction of biomass, used in the year y for baseline scenario, which can be established as non-renewable (default value for Kenya)
(http://cdm.unfccc.int/DNA/fNRB/index.html)</t>
  </si>
  <si>
    <t>Usage of baseline cookstove during the year y (fraction) in project scenario</t>
  </si>
  <si>
    <t>tons/household/year</t>
  </si>
  <si>
    <t>Quantity of firewood consumed in baseline scenario during year y 
(tonnes per household per year)</t>
  </si>
  <si>
    <t xml:space="preserve">Efficiency of the baseline cookstoves being replaced (fraction). 
A default value of 10% is used as the baseline stove is three stone fire. </t>
  </si>
  <si>
    <t>Leakage</t>
  </si>
  <si>
    <t>Per stove   =</t>
  </si>
  <si>
    <t>Total           =</t>
  </si>
  <si>
    <t>Sub-total   =</t>
  </si>
  <si>
    <t>CO2 emission factor of firewood that is substituted or reduced 
(default value of 1.747 tCO2/ton of firewood)</t>
  </si>
  <si>
    <t>Non-CO2 emission factor of firewood that is substituted or reduced 
(default value of  0.455 tCO2/ton of firewood)</t>
  </si>
  <si>
    <t>Efficiency of project cookstove in year y (fraction after 3 years)</t>
  </si>
  <si>
    <t xml:space="preserve">Year </t>
  </si>
  <si>
    <t>Estimation of project activity emissions (tCO2e)</t>
  </si>
  <si>
    <t>Estimation of baseline emissions 
(tCO2e)</t>
  </si>
  <si>
    <t>Estimation of leakage 
(tCO2e)</t>
  </si>
  <si>
    <t>Estimation of overall emission reductions (tCO2e)</t>
  </si>
  <si>
    <t xml:space="preserve">Total     </t>
  </si>
  <si>
    <r>
      <t>(tCO</t>
    </r>
    <r>
      <rPr>
        <b/>
        <vertAlign val="subscript"/>
        <sz val="12"/>
        <color theme="1"/>
        <rFont val="Calibri"/>
        <family val="2"/>
      </rPr>
      <t>2</t>
    </r>
    <r>
      <rPr>
        <b/>
        <sz val="12"/>
        <color theme="1"/>
        <rFont val="Calibri"/>
        <family val="2"/>
      </rPr>
      <t>e)</t>
    </r>
  </si>
  <si>
    <t>Start date crediting period</t>
  </si>
  <si>
    <t>01/07/2017 to 31/12/2017</t>
  </si>
  <si>
    <t>01/01/2018 to 31/12/2018</t>
  </si>
  <si>
    <t>01/01/2019 to 31/12/2019</t>
  </si>
  <si>
    <t>01/01/2020 to 31/12/2020</t>
  </si>
  <si>
    <t>01/01/2021 to 31/12/2021</t>
  </si>
  <si>
    <t>01/01/2022 to 31/12/2022</t>
  </si>
  <si>
    <t>01/01/2023 to 31/12/2023</t>
  </si>
  <si>
    <t>01/01/2024 to 31/06/2020</t>
  </si>
  <si>
    <t>Year</t>
  </si>
  <si>
    <t>VPA Year</t>
  </si>
  <si>
    <t>Half year</t>
  </si>
  <si>
    <t>Average</t>
  </si>
  <si>
    <t>Annual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</si>
</sst>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00"/>
  </numFmts>
  <fonts count="1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vertAlign val="subscript"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vertAlign val="subscript"/>
      <sz val="11"/>
      <color indexed="8"/>
      <name val="Calibri"/>
      <family val="2"/>
      <scheme val="minor"/>
    </font>
    <font>
      <i/>
      <vertAlign val="subscript"/>
      <sz val="11"/>
      <color rgb="FF000000"/>
      <name val="Calibri"/>
      <family val="2"/>
      <scheme val="minor"/>
    </font>
    <font>
      <i/>
      <vertAlign val="subscript"/>
      <sz val="8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indexed="8"/>
      <name val="Arial"/>
      <family val="2"/>
    </font>
    <font>
      <vertAlign val="subscript"/>
      <sz val="11"/>
      <color indexed="8"/>
      <name val="Calibri"/>
      <family val="2"/>
    </font>
    <font>
      <vertAlign val="subscript"/>
      <sz val="11"/>
      <color indexed="8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vertAlign val="subscript"/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4">
    <xf numFmtId="0" fontId="0" fillId="0" borderId="0" xfId="0"/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4" fontId="4" fillId="2" borderId="0" xfId="0" applyNumberFormat="1" applyFont="1" applyFill="1" applyBorder="1" applyAlignment="1">
      <alignment horizontal="left"/>
    </xf>
    <xf numFmtId="0" fontId="4" fillId="2" borderId="1" xfId="0" applyFont="1" applyFill="1" applyBorder="1"/>
    <xf numFmtId="0" fontId="4" fillId="2" borderId="0" xfId="0" applyFont="1" applyFill="1"/>
    <xf numFmtId="0" fontId="5" fillId="0" borderId="0" xfId="0" applyFont="1" applyBorder="1"/>
    <xf numFmtId="0" fontId="4" fillId="2" borderId="1" xfId="0" quotePrefix="1" applyFont="1" applyFill="1" applyBorder="1"/>
    <xf numFmtId="0" fontId="5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vertical="center"/>
    </xf>
    <xf numFmtId="2" fontId="4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/>
    </xf>
    <xf numFmtId="3" fontId="4" fillId="3" borderId="0" xfId="0" applyNumberFormat="1" applyFont="1" applyFill="1" applyBorder="1" applyAlignment="1">
      <alignment horizontal="left" vertical="top"/>
    </xf>
    <xf numFmtId="4" fontId="4" fillId="4" borderId="0" xfId="0" applyNumberFormat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2" fontId="4" fillId="3" borderId="0" xfId="0" applyNumberFormat="1" applyFont="1" applyFill="1" applyBorder="1" applyAlignment="1">
      <alignment horizontal="left" vertical="top"/>
    </xf>
    <xf numFmtId="0" fontId="7" fillId="2" borderId="0" xfId="0" applyFont="1" applyFill="1" applyBorder="1" applyAlignment="1">
      <alignment vertical="top"/>
    </xf>
    <xf numFmtId="165" fontId="4" fillId="3" borderId="0" xfId="0" applyNumberFormat="1" applyFont="1" applyFill="1" applyBorder="1" applyAlignment="1">
      <alignment horizontal="left" vertical="top"/>
    </xf>
    <xf numFmtId="0" fontId="11" fillId="0" borderId="0" xfId="0" applyFont="1" applyAlignment="1">
      <alignment horizontal="justify" vertical="top"/>
    </xf>
    <xf numFmtId="0" fontId="4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justify" vertical="top" wrapText="1"/>
    </xf>
    <xf numFmtId="0" fontId="12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vertical="center"/>
    </xf>
    <xf numFmtId="4" fontId="4" fillId="2" borderId="0" xfId="0" applyNumberFormat="1" applyFont="1" applyFill="1" applyAlignment="1">
      <alignment horizontal="left"/>
    </xf>
    <xf numFmtId="2" fontId="4" fillId="2" borderId="6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9" fontId="4" fillId="3" borderId="6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vertical="center"/>
    </xf>
    <xf numFmtId="0" fontId="16" fillId="5" borderId="9" xfId="0" applyFont="1" applyFill="1" applyBorder="1" applyAlignment="1">
      <alignment vertical="center" wrapText="1"/>
    </xf>
    <xf numFmtId="0" fontId="16" fillId="5" borderId="10" xfId="0" applyFont="1" applyFill="1" applyBorder="1" applyAlignment="1">
      <alignment vertical="center" wrapText="1"/>
    </xf>
    <xf numFmtId="3" fontId="15" fillId="0" borderId="12" xfId="0" applyNumberFormat="1" applyFont="1" applyBorder="1" applyAlignment="1">
      <alignment horizontal="right" vertical="center"/>
    </xf>
    <xf numFmtId="0" fontId="15" fillId="0" borderId="12" xfId="0" applyFont="1" applyBorder="1" applyAlignment="1">
      <alignment horizontal="right" vertical="center"/>
    </xf>
    <xf numFmtId="0" fontId="16" fillId="0" borderId="13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14" fontId="15" fillId="0" borderId="11" xfId="0" applyNumberFormat="1" applyFont="1" applyBorder="1" applyAlignment="1">
      <alignment horizontal="left" vertical="center" wrapText="1"/>
    </xf>
    <xf numFmtId="3" fontId="0" fillId="0" borderId="0" xfId="0" applyNumberFormat="1"/>
    <xf numFmtId="14" fontId="15" fillId="7" borderId="11" xfId="0" applyNumberFormat="1" applyFont="1" applyFill="1" applyBorder="1" applyAlignment="1">
      <alignment horizontal="left" vertical="center" wrapText="1"/>
    </xf>
    <xf numFmtId="3" fontId="15" fillId="7" borderId="12" xfId="0" applyNumberFormat="1" applyFont="1" applyFill="1" applyBorder="1" applyAlignment="1">
      <alignment horizontal="right" vertical="center"/>
    </xf>
    <xf numFmtId="0" fontId="15" fillId="7" borderId="12" xfId="0" applyFont="1" applyFill="1" applyBorder="1" applyAlignment="1">
      <alignment horizontal="right" vertical="center"/>
    </xf>
    <xf numFmtId="0" fontId="4" fillId="6" borderId="0" xfId="0" applyFont="1" applyFill="1" applyBorder="1"/>
    <xf numFmtId="0" fontId="4" fillId="6" borderId="0" xfId="0" applyFont="1" applyFill="1"/>
    <xf numFmtId="3" fontId="4" fillId="2" borderId="0" xfId="0" applyNumberFormat="1" applyFont="1" applyFill="1"/>
    <xf numFmtId="0" fontId="4" fillId="2" borderId="0" xfId="0" applyFont="1" applyFill="1" applyAlignment="1">
      <alignment vertical="top"/>
    </xf>
    <xf numFmtId="9" fontId="4" fillId="2" borderId="0" xfId="0" applyNumberFormat="1" applyFont="1" applyFill="1" applyAlignment="1">
      <alignment vertical="top"/>
    </xf>
    <xf numFmtId="0" fontId="0" fillId="7" borderId="0" xfId="0" applyFill="1" applyAlignment="1">
      <alignment horizontal="center" vertical="center"/>
    </xf>
    <xf numFmtId="3" fontId="4" fillId="2" borderId="0" xfId="0" applyNumberFormat="1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4" fillId="2" borderId="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3" fontId="16" fillId="0" borderId="14" xfId="0" applyNumberFormat="1" applyFont="1" applyBorder="1" applyAlignment="1">
      <alignment horizontal="right" vertical="center"/>
    </xf>
    <xf numFmtId="3" fontId="16" fillId="0" borderId="11" xfId="0" applyNumberFormat="1" applyFont="1" applyBorder="1" applyAlignment="1">
      <alignment horizontal="right" vertical="center"/>
    </xf>
    <xf numFmtId="0" fontId="15" fillId="0" borderId="15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9" fontId="4" fillId="3" borderId="0" xfId="0" applyNumberFormat="1" applyFont="1" applyFill="1" applyBorder="1" applyAlignment="1">
      <alignment horizontal="right" vertical="top"/>
    </xf>
  </cellXfs>
  <cellStyles count="27">
    <cellStyle name="Comma 2" xfId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Normal" xfId="0" builtinId="0"/>
    <cellStyle name="Normal 2" xfId="2"/>
    <cellStyle name="Percent 6" xf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542926</xdr:colOff>
      <xdr:row>15</xdr:row>
      <xdr:rowOff>209551</xdr:rowOff>
    </xdr:from>
    <xdr:to>
      <xdr:col>8</xdr:col>
      <xdr:colOff>628651</xdr:colOff>
      <xdr:row>17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6" y="5915026"/>
          <a:ext cx="5067300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581025</xdr:colOff>
      <xdr:row>17</xdr:row>
      <xdr:rowOff>161925</xdr:rowOff>
    </xdr:from>
    <xdr:to>
      <xdr:col>8</xdr:col>
      <xdr:colOff>485775</xdr:colOff>
      <xdr:row>18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515100"/>
          <a:ext cx="48863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276226</xdr:colOff>
      <xdr:row>2</xdr:row>
      <xdr:rowOff>123826</xdr:rowOff>
    </xdr:from>
    <xdr:to>
      <xdr:col>9</xdr:col>
      <xdr:colOff>333375</xdr:colOff>
      <xdr:row>3</xdr:row>
      <xdr:rowOff>286687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6" y="695326"/>
          <a:ext cx="5848349" cy="5629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295276</xdr:colOff>
      <xdr:row>2</xdr:row>
      <xdr:rowOff>133351</xdr:rowOff>
    </xdr:from>
    <xdr:to>
      <xdr:col>9</xdr:col>
      <xdr:colOff>352425</xdr:colOff>
      <xdr:row>3</xdr:row>
      <xdr:rowOff>296212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6" y="1104901"/>
          <a:ext cx="5848349" cy="5629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Q11" sqref="Q11"/>
    </sheetView>
  </sheetViews>
  <sheetFormatPr defaultColWidth="7.6640625" defaultRowHeight="14.5" x14ac:dyDescent="0.35"/>
  <cols>
    <col min="1" max="1" width="4" style="5" customWidth="1"/>
    <col min="2" max="2" width="7.6640625" style="35"/>
    <col min="3" max="3" width="12.5" style="35" bestFit="1" customWidth="1"/>
    <col min="4" max="4" width="7.6640625" style="35"/>
    <col min="5" max="5" width="13.6640625" style="35" customWidth="1"/>
    <col min="6" max="7" width="7.6640625" style="35"/>
    <col min="8" max="8" width="8" style="38" customWidth="1"/>
    <col min="9" max="9" width="10.5" style="5" bestFit="1" customWidth="1"/>
    <col min="10" max="10" width="7.6640625" style="5"/>
    <col min="11" max="11" width="8.6640625" style="5" bestFit="1" customWidth="1"/>
    <col min="12" max="12" width="9.5" style="5" customWidth="1"/>
    <col min="13" max="14" width="8.83203125" style="5" customWidth="1"/>
    <col min="15" max="15" width="8.83203125" style="1" customWidth="1"/>
    <col min="16" max="20" width="8.83203125" style="5" customWidth="1"/>
    <col min="21" max="16384" width="7.6640625" style="5"/>
  </cols>
  <sheetData>
    <row r="1" spans="1:22" s="1" customFormat="1" ht="17.25" customHeight="1" x14ac:dyDescent="0.35">
      <c r="B1" s="2"/>
      <c r="C1" s="2"/>
      <c r="D1" s="2"/>
      <c r="E1" s="2"/>
      <c r="F1" s="2"/>
      <c r="G1" s="2"/>
      <c r="H1" s="3"/>
      <c r="L1" s="1" t="s">
        <v>55</v>
      </c>
      <c r="M1" s="1">
        <v>1</v>
      </c>
      <c r="N1" s="1">
        <v>2</v>
      </c>
      <c r="O1" s="1">
        <v>3</v>
      </c>
      <c r="P1" s="1">
        <v>4</v>
      </c>
      <c r="Q1" s="1">
        <v>5</v>
      </c>
      <c r="R1" s="1">
        <v>6</v>
      </c>
      <c r="S1" s="1">
        <v>7</v>
      </c>
      <c r="T1" s="1">
        <v>8</v>
      </c>
    </row>
    <row r="2" spans="1:22" ht="25.5" customHeight="1" x14ac:dyDescent="0.35">
      <c r="A2" s="4"/>
      <c r="B2" s="6" t="s">
        <v>0</v>
      </c>
      <c r="C2" s="2"/>
      <c r="D2" s="2"/>
      <c r="E2" s="2"/>
      <c r="F2" s="2"/>
      <c r="G2" s="2"/>
      <c r="H2" s="3"/>
      <c r="I2" s="1"/>
      <c r="J2" s="1"/>
      <c r="K2" s="1"/>
      <c r="L2" s="1" t="s">
        <v>54</v>
      </c>
      <c r="M2" s="57">
        <v>2017</v>
      </c>
      <c r="N2" s="57">
        <v>2018</v>
      </c>
      <c r="O2" s="57">
        <v>2019</v>
      </c>
      <c r="P2" s="58">
        <v>2020</v>
      </c>
      <c r="Q2" s="58">
        <v>2021</v>
      </c>
      <c r="R2" s="58">
        <v>2022</v>
      </c>
      <c r="S2" s="58">
        <v>2023</v>
      </c>
      <c r="T2" s="58">
        <v>2024</v>
      </c>
      <c r="V2" s="5" t="s">
        <v>57</v>
      </c>
    </row>
    <row r="3" spans="1:22" ht="31.5" customHeight="1" x14ac:dyDescent="0.35">
      <c r="A3" s="7"/>
      <c r="B3" s="8"/>
      <c r="C3" s="9"/>
      <c r="D3" s="9"/>
      <c r="E3" s="9"/>
      <c r="F3" s="9"/>
      <c r="G3" s="65"/>
      <c r="H3" s="65"/>
      <c r="I3" s="65"/>
      <c r="J3" s="10"/>
      <c r="K3" s="10"/>
      <c r="L3" s="11" t="s">
        <v>34</v>
      </c>
      <c r="M3" s="44">
        <f>ROUNDDOWN($L$7*$L$8*M9*($L$10*$L$11+$L$12)*(1-$L$13),0)</f>
        <v>9735</v>
      </c>
      <c r="N3" s="44">
        <f t="shared" ref="N3:S3" si="0">ROUNDDOWN($L$7*$L$8*N9*($L$10*$L$11+$L$12)*(1-$L$13),0)</f>
        <v>9511</v>
      </c>
      <c r="O3" s="44">
        <f>ROUNDDOWN($L$7*$L$8*O9*($L$10*$L$11+$L$12)*(1-$L$13),0)</f>
        <v>9287</v>
      </c>
      <c r="P3" s="44">
        <f t="shared" si="0"/>
        <v>9064</v>
      </c>
      <c r="Q3" s="44">
        <f t="shared" si="0"/>
        <v>8840</v>
      </c>
      <c r="R3" s="44">
        <f t="shared" si="0"/>
        <v>8616</v>
      </c>
      <c r="S3" s="44">
        <f t="shared" si="0"/>
        <v>8392</v>
      </c>
      <c r="T3" s="44">
        <f>ROUNDDOWN($L$7*$L$8*T9*($L$10*$L$11+$L$12)*(1-$L$13),0)</f>
        <v>8168</v>
      </c>
      <c r="U3" s="12" t="s">
        <v>1</v>
      </c>
      <c r="V3" s="63">
        <f>AVERAGE(M3:T3)</f>
        <v>8951.625</v>
      </c>
    </row>
    <row r="4" spans="1:22" ht="31.5" customHeight="1" x14ac:dyDescent="0.35">
      <c r="A4" s="7"/>
      <c r="B4" s="40"/>
      <c r="C4" s="2"/>
      <c r="D4" s="2"/>
      <c r="E4" s="2"/>
      <c r="F4" s="2"/>
      <c r="G4" s="20"/>
      <c r="H4" s="20"/>
      <c r="I4" s="20"/>
      <c r="J4" s="1"/>
      <c r="K4" s="1"/>
      <c r="L4" s="37" t="s">
        <v>33</v>
      </c>
      <c r="M4" s="45">
        <f>ROUNDDOWN(M3*$D$5,0)</f>
        <v>9248</v>
      </c>
      <c r="N4" s="45">
        <f t="shared" ref="N4:S4" si="1">ROUNDDOWN(N3*$D$5,0)</f>
        <v>9035</v>
      </c>
      <c r="O4" s="45">
        <f t="shared" si="1"/>
        <v>8822</v>
      </c>
      <c r="P4" s="45">
        <f t="shared" si="1"/>
        <v>8610</v>
      </c>
      <c r="Q4" s="45">
        <f t="shared" si="1"/>
        <v>8398</v>
      </c>
      <c r="R4" s="45">
        <f t="shared" si="1"/>
        <v>8185</v>
      </c>
      <c r="S4" s="45">
        <f t="shared" si="1"/>
        <v>7972</v>
      </c>
      <c r="T4" s="45">
        <f>ROUNDDOWN(T3*$D$5,0)</f>
        <v>7759</v>
      </c>
      <c r="U4" s="41" t="s">
        <v>1</v>
      </c>
      <c r="V4" s="63">
        <f t="shared" ref="V4" si="2">AVERAGE(M4:T4)</f>
        <v>8503.625</v>
      </c>
    </row>
    <row r="5" spans="1:22" ht="31.5" customHeight="1" x14ac:dyDescent="0.35">
      <c r="A5" s="7"/>
      <c r="B5" s="13"/>
      <c r="C5" s="42" t="s">
        <v>31</v>
      </c>
      <c r="D5" s="43">
        <v>0.95</v>
      </c>
      <c r="E5" s="14"/>
      <c r="F5" s="14"/>
      <c r="G5" s="15"/>
      <c r="H5" s="15"/>
      <c r="I5" s="15"/>
      <c r="J5" s="16"/>
      <c r="K5" s="16"/>
      <c r="L5" s="17" t="s">
        <v>32</v>
      </c>
      <c r="M5" s="39">
        <f>M4/$L$7</f>
        <v>3.8533333333333335</v>
      </c>
      <c r="N5" s="39">
        <f t="shared" ref="N5:T5" si="3">N4/$L$7</f>
        <v>3.7645833333333334</v>
      </c>
      <c r="O5" s="39">
        <f t="shared" si="3"/>
        <v>3.6758333333333333</v>
      </c>
      <c r="P5" s="39">
        <f t="shared" si="3"/>
        <v>3.5874999999999999</v>
      </c>
      <c r="Q5" s="39">
        <f t="shared" si="3"/>
        <v>3.4991666666666665</v>
      </c>
      <c r="R5" s="39">
        <f t="shared" si="3"/>
        <v>3.4104166666666669</v>
      </c>
      <c r="S5" s="39">
        <f t="shared" si="3"/>
        <v>3.3216666666666668</v>
      </c>
      <c r="T5" s="39">
        <f t="shared" si="3"/>
        <v>3.2329166666666667</v>
      </c>
      <c r="U5" s="18" t="s">
        <v>1</v>
      </c>
      <c r="V5" s="64">
        <f>AVERAGE(M5:T5)</f>
        <v>3.5431770833333331</v>
      </c>
    </row>
    <row r="6" spans="1:22" ht="25.5" customHeight="1" x14ac:dyDescent="0.35">
      <c r="A6" s="7"/>
      <c r="B6" s="19"/>
      <c r="C6" s="2"/>
      <c r="D6" s="2"/>
      <c r="E6" s="2"/>
      <c r="F6" s="2"/>
      <c r="G6" s="20"/>
      <c r="H6" s="20"/>
      <c r="I6" s="20"/>
      <c r="J6" s="1"/>
      <c r="K6" s="1"/>
      <c r="L6" s="21"/>
      <c r="M6" s="22"/>
      <c r="N6" s="21"/>
      <c r="V6" s="59"/>
    </row>
    <row r="7" spans="1:22" ht="27.75" customHeight="1" x14ac:dyDescent="0.35">
      <c r="A7" s="4"/>
      <c r="B7" s="2"/>
      <c r="C7" s="23" t="s">
        <v>2</v>
      </c>
      <c r="D7" s="66" t="s">
        <v>3</v>
      </c>
      <c r="E7" s="66"/>
      <c r="F7" s="66"/>
      <c r="G7" s="66"/>
      <c r="H7" s="66"/>
      <c r="I7" s="66"/>
      <c r="J7" s="66"/>
      <c r="K7" s="24" t="s">
        <v>4</v>
      </c>
      <c r="L7" s="25">
        <v>2400</v>
      </c>
      <c r="M7" s="27" t="s">
        <v>5</v>
      </c>
      <c r="N7" s="21"/>
    </row>
    <row r="8" spans="1:22" ht="27.75" customHeight="1" x14ac:dyDescent="0.35">
      <c r="A8" s="4"/>
      <c r="B8" s="2"/>
      <c r="C8" s="23" t="s">
        <v>6</v>
      </c>
      <c r="D8" s="66" t="s">
        <v>7</v>
      </c>
      <c r="E8" s="66"/>
      <c r="F8" s="66"/>
      <c r="G8" s="66"/>
      <c r="H8" s="66"/>
      <c r="I8" s="66"/>
      <c r="J8" s="66"/>
      <c r="K8" s="24" t="s">
        <v>4</v>
      </c>
      <c r="L8" s="26">
        <f>L22*(1-L23/L25)</f>
        <v>3.0146015975470655</v>
      </c>
      <c r="M8" s="24" t="s">
        <v>8</v>
      </c>
      <c r="N8" s="1"/>
      <c r="O8" s="5"/>
    </row>
    <row r="9" spans="1:22" ht="36" customHeight="1" x14ac:dyDescent="0.35">
      <c r="A9" s="4"/>
      <c r="B9" s="2"/>
      <c r="C9" s="23" t="s">
        <v>9</v>
      </c>
      <c r="D9" s="66" t="s">
        <v>10</v>
      </c>
      <c r="E9" s="66"/>
      <c r="F9" s="66"/>
      <c r="G9" s="66"/>
      <c r="H9" s="66"/>
      <c r="I9" s="66"/>
      <c r="J9" s="66"/>
      <c r="K9" s="27" t="s">
        <v>4</v>
      </c>
      <c r="L9" s="1"/>
      <c r="M9" s="73">
        <v>0.87</v>
      </c>
      <c r="N9" s="73">
        <f>M9-0.02</f>
        <v>0.85</v>
      </c>
      <c r="O9" s="73">
        <f>N9-0.02</f>
        <v>0.83</v>
      </c>
      <c r="P9" s="73">
        <f>O9-0.02</f>
        <v>0.80999999999999994</v>
      </c>
      <c r="Q9" s="73">
        <f t="shared" ref="O9:T9" si="4">P9-0.02</f>
        <v>0.78999999999999992</v>
      </c>
      <c r="R9" s="73">
        <f t="shared" si="4"/>
        <v>0.76999999999999991</v>
      </c>
      <c r="S9" s="73">
        <f t="shared" si="4"/>
        <v>0.74999999999999989</v>
      </c>
      <c r="T9" s="73">
        <f t="shared" si="4"/>
        <v>0.72999999999999987</v>
      </c>
      <c r="U9" s="60" t="s">
        <v>11</v>
      </c>
      <c r="V9" s="61">
        <f>AVERAGE(M9:T9)</f>
        <v>0.79999999999999982</v>
      </c>
    </row>
    <row r="10" spans="1:22" ht="50.25" customHeight="1" x14ac:dyDescent="0.35">
      <c r="A10" s="4"/>
      <c r="B10" s="2"/>
      <c r="C10" s="23" t="s">
        <v>12</v>
      </c>
      <c r="D10" s="66" t="s">
        <v>26</v>
      </c>
      <c r="E10" s="66"/>
      <c r="F10" s="66"/>
      <c r="G10" s="66"/>
      <c r="H10" s="66"/>
      <c r="I10" s="66"/>
      <c r="J10" s="66"/>
      <c r="K10" s="27" t="s">
        <v>4</v>
      </c>
      <c r="L10" s="28">
        <v>0.92</v>
      </c>
      <c r="M10" s="27" t="s">
        <v>11</v>
      </c>
      <c r="N10" s="1"/>
      <c r="O10" s="5"/>
    </row>
    <row r="11" spans="1:22" ht="36" customHeight="1" x14ac:dyDescent="0.35">
      <c r="A11" s="4"/>
      <c r="B11" s="2"/>
      <c r="C11" s="29" t="s">
        <v>13</v>
      </c>
      <c r="D11" s="66" t="s">
        <v>35</v>
      </c>
      <c r="E11" s="66"/>
      <c r="F11" s="66"/>
      <c r="G11" s="66"/>
      <c r="H11" s="66"/>
      <c r="I11" s="66"/>
      <c r="J11" s="66"/>
      <c r="K11" s="27" t="s">
        <v>4</v>
      </c>
      <c r="L11" s="30">
        <v>1.7470000000000001</v>
      </c>
      <c r="M11" s="27" t="s">
        <v>14</v>
      </c>
      <c r="N11" s="24"/>
      <c r="O11" s="5"/>
    </row>
    <row r="12" spans="1:22" ht="36" customHeight="1" x14ac:dyDescent="0.35">
      <c r="A12" s="4"/>
      <c r="B12" s="2"/>
      <c r="C12" s="29" t="s">
        <v>15</v>
      </c>
      <c r="D12" s="66" t="s">
        <v>36</v>
      </c>
      <c r="E12" s="66"/>
      <c r="F12" s="66"/>
      <c r="G12" s="66"/>
      <c r="H12" s="66"/>
      <c r="I12" s="66"/>
      <c r="J12" s="66"/>
      <c r="K12" s="27" t="s">
        <v>4</v>
      </c>
      <c r="L12" s="30">
        <v>0.45500000000000002</v>
      </c>
      <c r="M12" s="27" t="s">
        <v>14</v>
      </c>
      <c r="N12" s="24"/>
      <c r="O12" s="5"/>
    </row>
    <row r="13" spans="1:22" ht="27.75" customHeight="1" x14ac:dyDescent="0.35">
      <c r="A13" s="4"/>
      <c r="B13" s="2"/>
      <c r="C13" s="31" t="s">
        <v>16</v>
      </c>
      <c r="D13" s="66" t="s">
        <v>27</v>
      </c>
      <c r="E13" s="66"/>
      <c r="F13" s="66"/>
      <c r="G13" s="66"/>
      <c r="H13" s="66"/>
      <c r="I13" s="66"/>
      <c r="J13" s="66"/>
      <c r="K13" s="27" t="s">
        <v>4</v>
      </c>
      <c r="L13" s="28">
        <v>0.25</v>
      </c>
      <c r="M13" s="27" t="s">
        <v>11</v>
      </c>
      <c r="N13" s="1"/>
      <c r="O13" s="5"/>
    </row>
    <row r="14" spans="1:22" ht="25.5" customHeight="1" x14ac:dyDescent="0.35">
      <c r="A14" s="4"/>
      <c r="B14" s="2"/>
      <c r="C14" s="1"/>
      <c r="D14" s="32"/>
      <c r="E14" s="32"/>
      <c r="F14" s="32"/>
      <c r="G14" s="32"/>
      <c r="H14" s="32"/>
      <c r="I14" s="32"/>
      <c r="J14" s="32"/>
      <c r="K14" s="1"/>
      <c r="L14" s="1"/>
      <c r="M14" s="1"/>
      <c r="N14" s="1"/>
      <c r="O14" s="5"/>
    </row>
    <row r="15" spans="1:22" ht="25.5" customHeight="1" x14ac:dyDescent="0.45">
      <c r="A15" s="4"/>
      <c r="B15" s="23"/>
      <c r="C15" s="1" t="s">
        <v>17</v>
      </c>
      <c r="D15" s="1"/>
      <c r="E15" s="2"/>
      <c r="F15" s="2"/>
      <c r="G15" s="2"/>
      <c r="H15" s="3"/>
      <c r="I15" s="3"/>
      <c r="J15" s="1"/>
      <c r="K15" s="1"/>
      <c r="L15" s="1"/>
      <c r="M15" s="1"/>
      <c r="N15" s="1"/>
      <c r="O15" s="5"/>
    </row>
    <row r="16" spans="1:22" ht="25.5" customHeight="1" x14ac:dyDescent="0.35">
      <c r="A16" s="4"/>
      <c r="B16" s="2"/>
      <c r="C16" s="21"/>
      <c r="D16" s="2"/>
      <c r="E16" s="2"/>
      <c r="F16" s="2"/>
      <c r="G16" s="2"/>
      <c r="H16" s="3"/>
      <c r="I16" s="3"/>
      <c r="J16" s="1"/>
      <c r="K16" s="1"/>
      <c r="L16" s="1"/>
      <c r="M16" s="1"/>
      <c r="N16" s="1"/>
      <c r="O16" s="5"/>
    </row>
    <row r="17" spans="1:15" ht="25.5" customHeight="1" x14ac:dyDescent="0.35">
      <c r="A17" s="7"/>
      <c r="B17" s="2"/>
      <c r="C17" s="2"/>
      <c r="D17" s="2"/>
      <c r="E17" s="2"/>
      <c r="F17" s="2"/>
      <c r="G17" s="2"/>
      <c r="H17" s="3"/>
      <c r="I17" s="3"/>
      <c r="J17" s="1"/>
      <c r="K17" s="1"/>
      <c r="L17" s="1"/>
      <c r="M17" s="1"/>
      <c r="N17" s="1"/>
      <c r="O17" s="5"/>
    </row>
    <row r="18" spans="1:15" ht="25.5" customHeight="1" x14ac:dyDescent="0.35">
      <c r="A18" s="7"/>
      <c r="B18" s="2"/>
      <c r="C18" s="2"/>
      <c r="D18" s="2"/>
      <c r="E18" s="2"/>
      <c r="F18" s="2"/>
      <c r="G18" s="2"/>
      <c r="H18" s="3"/>
      <c r="I18" s="3"/>
      <c r="J18" s="1"/>
      <c r="K18" s="1"/>
      <c r="L18" s="1"/>
      <c r="M18" s="1"/>
      <c r="N18" s="1"/>
      <c r="O18" s="5"/>
    </row>
    <row r="19" spans="1:15" ht="25.5" customHeight="1" x14ac:dyDescent="0.35">
      <c r="A19" s="7"/>
      <c r="B19" s="2"/>
      <c r="C19" s="2"/>
      <c r="D19" s="2"/>
      <c r="E19" s="2"/>
      <c r="F19" s="2"/>
      <c r="G19" s="2"/>
      <c r="H19" s="3"/>
      <c r="I19" s="3"/>
      <c r="J19" s="1"/>
      <c r="K19" s="1"/>
      <c r="L19" s="1"/>
      <c r="M19" s="1"/>
      <c r="N19" s="1"/>
      <c r="O19" s="5"/>
    </row>
    <row r="20" spans="1:15" ht="25.5" customHeight="1" x14ac:dyDescent="0.35">
      <c r="A20" s="4"/>
      <c r="B20" s="2"/>
      <c r="C20" s="2"/>
      <c r="D20" s="2"/>
      <c r="E20" s="2"/>
      <c r="F20" s="2"/>
      <c r="G20" s="2"/>
      <c r="H20" s="3"/>
      <c r="I20" s="3"/>
      <c r="J20" s="1"/>
      <c r="K20" s="1"/>
      <c r="L20" s="1"/>
      <c r="M20" s="1"/>
      <c r="N20" s="1"/>
      <c r="O20" s="5"/>
    </row>
    <row r="21" spans="1:15" ht="25.5" customHeight="1" x14ac:dyDescent="0.35">
      <c r="A21" s="4"/>
      <c r="B21" s="2"/>
      <c r="C21" s="21" t="s">
        <v>18</v>
      </c>
      <c r="D21" s="1"/>
      <c r="E21" s="2"/>
      <c r="F21" s="2"/>
      <c r="G21" s="2"/>
      <c r="H21" s="3"/>
      <c r="I21" s="3"/>
      <c r="J21" s="1"/>
      <c r="K21" s="1"/>
      <c r="L21" s="1"/>
      <c r="M21" s="1"/>
      <c r="N21" s="1"/>
      <c r="O21" s="5"/>
    </row>
    <row r="22" spans="1:15" ht="36" customHeight="1" x14ac:dyDescent="0.35">
      <c r="A22" s="4"/>
      <c r="B22" s="2"/>
      <c r="C22" s="33" t="s">
        <v>19</v>
      </c>
      <c r="D22" s="66" t="s">
        <v>29</v>
      </c>
      <c r="E22" s="66"/>
      <c r="F22" s="66"/>
      <c r="G22" s="66"/>
      <c r="H22" s="66"/>
      <c r="I22" s="66"/>
      <c r="J22" s="66"/>
      <c r="K22" s="27" t="s">
        <v>4</v>
      </c>
      <c r="L22" s="28">
        <v>4.22</v>
      </c>
      <c r="M22" s="66" t="s">
        <v>28</v>
      </c>
      <c r="N22" s="66"/>
      <c r="O22" s="5"/>
    </row>
    <row r="23" spans="1:15" ht="40.5" customHeight="1" x14ac:dyDescent="0.35">
      <c r="A23" s="4"/>
      <c r="B23" s="2"/>
      <c r="C23" s="34" t="s">
        <v>20</v>
      </c>
      <c r="D23" s="66" t="s">
        <v>30</v>
      </c>
      <c r="E23" s="66"/>
      <c r="F23" s="66"/>
      <c r="G23" s="66"/>
      <c r="H23" s="66"/>
      <c r="I23" s="66"/>
      <c r="J23" s="66"/>
      <c r="K23" s="27" t="s">
        <v>4</v>
      </c>
      <c r="L23" s="28">
        <v>0.1</v>
      </c>
      <c r="M23" s="24" t="s">
        <v>11</v>
      </c>
      <c r="N23" s="1"/>
      <c r="O23" s="5"/>
    </row>
    <row r="24" spans="1:15" ht="30" customHeight="1" x14ac:dyDescent="0.35">
      <c r="A24" s="4"/>
      <c r="B24" s="2"/>
      <c r="C24" s="34" t="s">
        <v>21</v>
      </c>
      <c r="D24" s="66" t="s">
        <v>22</v>
      </c>
      <c r="E24" s="66"/>
      <c r="F24" s="66"/>
      <c r="G24" s="66"/>
      <c r="H24" s="66"/>
      <c r="I24" s="66"/>
      <c r="J24" s="66"/>
      <c r="K24" s="27" t="s">
        <v>4</v>
      </c>
      <c r="L24" s="28">
        <v>0.38</v>
      </c>
      <c r="M24" s="66" t="s">
        <v>11</v>
      </c>
      <c r="N24" s="66"/>
      <c r="O24" s="5"/>
    </row>
    <row r="25" spans="1:15" ht="30" customHeight="1" x14ac:dyDescent="0.35">
      <c r="A25" s="4"/>
      <c r="B25" s="2"/>
      <c r="C25" s="34" t="s">
        <v>23</v>
      </c>
      <c r="D25" s="66" t="s">
        <v>37</v>
      </c>
      <c r="E25" s="66"/>
      <c r="F25" s="66"/>
      <c r="G25" s="66"/>
      <c r="H25" s="66"/>
      <c r="I25" s="66"/>
      <c r="J25" s="66"/>
      <c r="K25" s="27" t="s">
        <v>4</v>
      </c>
      <c r="L25" s="30">
        <f>L24*(L26)^(3-1)*0.94</f>
        <v>0.35009172</v>
      </c>
      <c r="M25" s="24" t="s">
        <v>11</v>
      </c>
      <c r="N25" s="1"/>
      <c r="O25" s="5"/>
    </row>
    <row r="26" spans="1:15" ht="30" customHeight="1" x14ac:dyDescent="0.35">
      <c r="A26" s="35"/>
      <c r="C26" s="36" t="s">
        <v>24</v>
      </c>
      <c r="D26" s="67" t="s">
        <v>25</v>
      </c>
      <c r="E26" s="67"/>
      <c r="F26" s="67"/>
      <c r="G26" s="67"/>
      <c r="H26" s="67"/>
      <c r="I26" s="67"/>
      <c r="J26" s="67"/>
      <c r="K26" s="27" t="s">
        <v>4</v>
      </c>
      <c r="L26" s="28">
        <v>0.99</v>
      </c>
      <c r="M26" s="24" t="s">
        <v>11</v>
      </c>
      <c r="N26" s="1"/>
      <c r="O26" s="5"/>
    </row>
    <row r="27" spans="1:15" ht="25.5" customHeight="1" x14ac:dyDescent="0.35">
      <c r="A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1"/>
    </row>
    <row r="28" spans="1:15" x14ac:dyDescent="0.35">
      <c r="A28" s="4"/>
      <c r="B28" s="37"/>
      <c r="C28" s="37"/>
      <c r="D28" s="37"/>
      <c r="E28" s="21"/>
      <c r="F28" s="21"/>
      <c r="G28" s="21"/>
      <c r="H28" s="21"/>
      <c r="I28" s="21"/>
      <c r="J28" s="21"/>
      <c r="K28" s="21"/>
      <c r="L28" s="21"/>
      <c r="M28" s="1"/>
      <c r="N28" s="1"/>
    </row>
  </sheetData>
  <mergeCells count="15">
    <mergeCell ref="D11:J11"/>
    <mergeCell ref="D26:J26"/>
    <mergeCell ref="M22:N22"/>
    <mergeCell ref="M24:N24"/>
    <mergeCell ref="D12:J12"/>
    <mergeCell ref="D13:J13"/>
    <mergeCell ref="D22:J22"/>
    <mergeCell ref="D23:J23"/>
    <mergeCell ref="D24:J24"/>
    <mergeCell ref="D25:J25"/>
    <mergeCell ref="G3:I3"/>
    <mergeCell ref="D7:J7"/>
    <mergeCell ref="D8:J8"/>
    <mergeCell ref="D9:J9"/>
    <mergeCell ref="D10:J10"/>
  </mergeCells>
  <hyperlinks>
    <hyperlink ref="D13" location="_ftn1" display="_ftn1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workbookViewId="0">
      <selection activeCell="J10" sqref="J10"/>
    </sheetView>
  </sheetViews>
  <sheetFormatPr defaultColWidth="8.83203125" defaultRowHeight="15.5" x14ac:dyDescent="0.35"/>
  <cols>
    <col min="2" max="2" width="16.33203125" customWidth="1"/>
    <col min="3" max="3" width="18.33203125" customWidth="1"/>
    <col min="4" max="4" width="20.5" customWidth="1"/>
    <col min="5" max="5" width="14.83203125" customWidth="1"/>
    <col min="6" max="6" width="19.5" customWidth="1"/>
    <col min="8" max="8" width="11.4140625" customWidth="1"/>
  </cols>
  <sheetData>
    <row r="2" spans="2:8" ht="16" thickBot="1" x14ac:dyDescent="0.4"/>
    <row r="3" spans="2:8" ht="62.5" thickBot="1" x14ac:dyDescent="0.4">
      <c r="B3" s="46" t="s">
        <v>38</v>
      </c>
      <c r="C3" s="46" t="s">
        <v>39</v>
      </c>
      <c r="D3" s="46" t="s">
        <v>40</v>
      </c>
      <c r="E3" s="47" t="s">
        <v>41</v>
      </c>
      <c r="F3" s="46" t="s">
        <v>42</v>
      </c>
    </row>
    <row r="4" spans="2:8" ht="25" customHeight="1" thickBot="1" x14ac:dyDescent="0.4">
      <c r="B4" s="52">
        <v>42917</v>
      </c>
      <c r="C4" s="70" t="s">
        <v>45</v>
      </c>
      <c r="D4" s="71"/>
      <c r="E4" s="71"/>
      <c r="F4" s="72"/>
    </row>
    <row r="5" spans="2:8" ht="31.5" thickBot="1" x14ac:dyDescent="0.4">
      <c r="B5" s="54" t="s">
        <v>46</v>
      </c>
      <c r="C5" s="55">
        <v>0</v>
      </c>
      <c r="D5" s="55">
        <f>'ER Estimation'!M3/2</f>
        <v>4867.5</v>
      </c>
      <c r="E5" s="56">
        <f>ROUNDUP(D5*0.05,0)</f>
        <v>244</v>
      </c>
      <c r="F5" s="55">
        <f>D5-C5-E5</f>
        <v>4623.5</v>
      </c>
      <c r="H5" s="62" t="s">
        <v>56</v>
      </c>
    </row>
    <row r="6" spans="2:8" ht="31.5" thickBot="1" x14ac:dyDescent="0.4">
      <c r="B6" s="52" t="s">
        <v>47</v>
      </c>
      <c r="C6" s="48">
        <v>0</v>
      </c>
      <c r="D6" s="48">
        <f>'ER Estimation'!N3</f>
        <v>9511</v>
      </c>
      <c r="E6" s="49">
        <f t="shared" ref="E6:E12" si="0">ROUNDUP(D6*0.05,0)</f>
        <v>476</v>
      </c>
      <c r="F6" s="48">
        <f>D6-C6-E6</f>
        <v>9035</v>
      </c>
    </row>
    <row r="7" spans="2:8" ht="31.5" thickBot="1" x14ac:dyDescent="0.4">
      <c r="B7" s="52" t="s">
        <v>48</v>
      </c>
      <c r="C7" s="48">
        <v>0</v>
      </c>
      <c r="D7" s="48">
        <f>'ER Estimation'!O3</f>
        <v>9287</v>
      </c>
      <c r="E7" s="49">
        <f t="shared" si="0"/>
        <v>465</v>
      </c>
      <c r="F7" s="48">
        <f t="shared" ref="F7:F12" si="1">D7-C7-E7</f>
        <v>8822</v>
      </c>
    </row>
    <row r="8" spans="2:8" ht="31.5" thickBot="1" x14ac:dyDescent="0.4">
      <c r="B8" s="52" t="s">
        <v>49</v>
      </c>
      <c r="C8" s="48">
        <v>0</v>
      </c>
      <c r="D8" s="48">
        <f>'ER Estimation'!P3</f>
        <v>9064</v>
      </c>
      <c r="E8" s="49">
        <f t="shared" si="0"/>
        <v>454</v>
      </c>
      <c r="F8" s="48">
        <f t="shared" si="1"/>
        <v>8610</v>
      </c>
    </row>
    <row r="9" spans="2:8" ht="31.5" thickBot="1" x14ac:dyDescent="0.4">
      <c r="B9" s="52" t="s">
        <v>50</v>
      </c>
      <c r="C9" s="48">
        <v>0</v>
      </c>
      <c r="D9" s="48">
        <f>'ER Estimation'!Q3</f>
        <v>8840</v>
      </c>
      <c r="E9" s="49">
        <f t="shared" si="0"/>
        <v>442</v>
      </c>
      <c r="F9" s="48">
        <f t="shared" si="1"/>
        <v>8398</v>
      </c>
    </row>
    <row r="10" spans="2:8" ht="31.5" thickBot="1" x14ac:dyDescent="0.4">
      <c r="B10" s="52" t="s">
        <v>51</v>
      </c>
      <c r="C10" s="48">
        <f t="shared" ref="C10:C11" si="2">C9</f>
        <v>0</v>
      </c>
      <c r="D10" s="48">
        <f>'ER Estimation'!R3</f>
        <v>8616</v>
      </c>
      <c r="E10" s="49">
        <f>ROUNDUP(D10*0.05,0)</f>
        <v>431</v>
      </c>
      <c r="F10" s="48">
        <f>D10-C10-E10</f>
        <v>8185</v>
      </c>
    </row>
    <row r="11" spans="2:8" ht="31.5" thickBot="1" x14ac:dyDescent="0.4">
      <c r="B11" s="52" t="s">
        <v>52</v>
      </c>
      <c r="C11" s="48">
        <f t="shared" si="2"/>
        <v>0</v>
      </c>
      <c r="D11" s="48">
        <f>'ER Estimation'!S3</f>
        <v>8392</v>
      </c>
      <c r="E11" s="49">
        <f t="shared" si="0"/>
        <v>420</v>
      </c>
      <c r="F11" s="48">
        <f t="shared" si="1"/>
        <v>7972</v>
      </c>
    </row>
    <row r="12" spans="2:8" ht="31.5" thickBot="1" x14ac:dyDescent="0.4">
      <c r="B12" s="54" t="s">
        <v>53</v>
      </c>
      <c r="C12" s="55">
        <v>0</v>
      </c>
      <c r="D12" s="55">
        <f>'ER Estimation'!T3/2</f>
        <v>4084</v>
      </c>
      <c r="E12" s="56">
        <f t="shared" si="0"/>
        <v>205</v>
      </c>
      <c r="F12" s="55">
        <f t="shared" si="1"/>
        <v>3879</v>
      </c>
    </row>
    <row r="13" spans="2:8" x14ac:dyDescent="0.35">
      <c r="B13" s="50" t="s">
        <v>43</v>
      </c>
      <c r="C13" s="68">
        <f>SUM(C5:C12)</f>
        <v>0</v>
      </c>
      <c r="D13" s="68">
        <f>SUM(D5:D12)</f>
        <v>62661.5</v>
      </c>
      <c r="E13" s="68">
        <f t="shared" ref="E13:F13" si="3">SUM(E5:E12)</f>
        <v>3137</v>
      </c>
      <c r="F13" s="68">
        <f t="shared" si="3"/>
        <v>59524.5</v>
      </c>
    </row>
    <row r="14" spans="2:8" ht="18" thickBot="1" x14ac:dyDescent="0.4">
      <c r="B14" s="51" t="s">
        <v>44</v>
      </c>
      <c r="C14" s="69"/>
      <c r="D14" s="69"/>
      <c r="E14" s="69"/>
      <c r="F14" s="69"/>
    </row>
    <row r="16" spans="2:8" x14ac:dyDescent="0.35">
      <c r="G16" s="53"/>
    </row>
    <row r="17" spans="5:6" x14ac:dyDescent="0.35">
      <c r="E17" t="s">
        <v>58</v>
      </c>
      <c r="F17" s="53">
        <f>ROUNDDOWN(F13/7,0)</f>
        <v>8503</v>
      </c>
    </row>
  </sheetData>
  <mergeCells count="5">
    <mergeCell ref="C13:C14"/>
    <mergeCell ref="D13:D14"/>
    <mergeCell ref="E13:E14"/>
    <mergeCell ref="F13:F14"/>
    <mergeCell ref="C4:F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 Estimation</vt:lpstr>
      <vt:lpstr>Summary</vt:lpstr>
    </vt:vector>
  </TitlesOfParts>
  <Company>South Pole Carbon Asset Management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Tilmann Silber</dc:creator>
  <cp:lastModifiedBy>Lars Osterwalder</cp:lastModifiedBy>
  <cp:lastPrinted>2016-07-12T05:43:11Z</cp:lastPrinted>
  <dcterms:created xsi:type="dcterms:W3CDTF">2014-09-26T12:56:06Z</dcterms:created>
  <dcterms:modified xsi:type="dcterms:W3CDTF">2017-03-18T16:41:35Z</dcterms:modified>
</cp:coreProperties>
</file>