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40" yWindow="65516" windowWidth="20740" windowHeight="11760" tabRatio="835" activeTab="0"/>
  </bookViews>
  <sheets>
    <sheet name="Summary" sheetId="1" r:id="rId1"/>
    <sheet name="CER flow" sheetId="2" r:id="rId2"/>
    <sheet name="Proj Emissions" sheetId="3" r:id="rId3"/>
    <sheet name="Tables for PDD" sheetId="4" r:id="rId4"/>
    <sheet name="CEF - Eastern Europe" sheetId="5" state="hidden" r:id="rId5"/>
    <sheet name="JW's calcs" sheetId="6" state="hidden" r:id="rId6"/>
    <sheet name="IRR - without CDM" sheetId="7" r:id="rId7"/>
    <sheet name="Depreciation" sheetId="8" r:id="rId8"/>
    <sheet name="Benchmark" sheetId="9" r:id="rId9"/>
  </sheets>
  <externalReferences>
    <externalReference r:id="rId12"/>
    <externalReference r:id="rId13"/>
  </externalReferences>
  <definedNames>
    <definedName name="_889">#REF!</definedName>
    <definedName name="_942">'[1]Client EDD live'!$A$1:$AR$2</definedName>
    <definedName name="_ArX1">'[1]TCD (GIS) Response'!$D$8</definedName>
    <definedName name="_ArX2">'[1]TCD (GIS) Response'!$D$9</definedName>
    <definedName name="_ArX3">'[1]TCD (GIS) Response'!$D$10</definedName>
    <definedName name="ArIntercept">'[1]TCD (GIS) Response'!$D$7</definedName>
    <definedName name="ArMax">'[1]TCD (GIS) Response'!$D$6</definedName>
    <definedName name="ArMin">'[1]TCD (GIS) Response'!$D$5</definedName>
    <definedName name="CEF">'[2]Table 6'!$J$20:$K$23</definedName>
    <definedName name="CEF_Coal">'[2]Table 6'!$T$49:$U$52</definedName>
    <definedName name="CH4Intercept">'[1]TCD (GIS) Response'!$G$7</definedName>
    <definedName name="CH4Max">'[1]TCD (GIS) Response'!$G$6</definedName>
    <definedName name="CH4Min">'[1]TCD (GIS) Response'!$G$5</definedName>
    <definedName name="CH4X1">'[1]TCD (GIS) Response'!$G$8</definedName>
    <definedName name="CH4X2">'[1]TCD (GIS) Response'!$G$9</definedName>
    <definedName name="CH4X3">'[1]TCD (GIS) Response'!$G$10</definedName>
    <definedName name="DATABASE">'[1]Bomb Calcs'!$A$4:$BX$14</definedName>
    <definedName name="er" hidden="1">{"DRJ-10",#N/A,FALSE,"Condensate"}</definedName>
    <definedName name="Factors">#REF!</definedName>
    <definedName name="Factors1">#REF!</definedName>
    <definedName name="FULLYEAR">#REF!</definedName>
    <definedName name="Inlet_System_Dead_Volume">'[1]Bomb Calcs'!$B$2</definedName>
    <definedName name="LowH2Intercept">'[1]TCD (GIS) Response'!$B$7</definedName>
    <definedName name="LowH2Max">'[1]TCD (GIS) Response'!$B$6</definedName>
    <definedName name="LowH2Min">'[1]TCD (GIS) Response'!$B$5</definedName>
    <definedName name="LowH2X1">'[1]TCD (GIS) Response'!$B$8</definedName>
    <definedName name="LowH2X2">'[1]TCD (GIS) Response'!$B$9</definedName>
    <definedName name="LowH2X3">'[1]TCD (GIS) Response'!$B$10</definedName>
    <definedName name="Matrix">#REF!</definedName>
    <definedName name="MidH2Intercept">'[1]TCD (GIS) Response'!$C$7</definedName>
    <definedName name="MidH2Max">'[1]TCD (GIS) Response'!$C$6</definedName>
    <definedName name="MidH2Min">'[1]TCD (GIS) Response'!$C$5</definedName>
    <definedName name="MidH2X1">'[1]TCD (GIS) Response'!$C$8</definedName>
    <definedName name="MidH2X2">'[1]TCD (GIS) Response'!$C$9</definedName>
    <definedName name="MidH2X3">'[1]TCD (GIS) Response'!$C$10</definedName>
    <definedName name="Milk">'[1]Bomb Calcs'!$D$2</definedName>
    <definedName name="N2Intercept">'[1]TCD (GIS) Response'!$F$7</definedName>
    <definedName name="N2Max">'[1]TCD (GIS) Response'!$F$6</definedName>
    <definedName name="N2Min">'[1]TCD (GIS) Response'!$F$5</definedName>
    <definedName name="N2X1">'[1]TCD (GIS) Response'!$F$8</definedName>
    <definedName name="N2X2">'[1]TCD (GIS) Response'!$F$9</definedName>
    <definedName name="N2X3">'[1]TCD (GIS) Response'!$F$10</definedName>
    <definedName name="Name_Type">#REF!</definedName>
    <definedName name="O2Intercept">'[1]TCD (GIS) Response'!$E$7</definedName>
    <definedName name="O2Max">'[1]TCD (GIS) Response'!$E$6</definedName>
    <definedName name="O2Min">'[1]TCD (GIS) Response'!$E$5</definedName>
    <definedName name="O2X1">'[1]TCD (GIS) Response'!$E$8</definedName>
    <definedName name="O2X2">'[1]TCD (GIS) Response'!$E$9</definedName>
    <definedName name="O2X3">'[1]TCD (GIS) Response'!$E$10</definedName>
    <definedName name="_xlnm.Print_Area" localSheetId="0">'Summary'!$B$11:$D$44</definedName>
    <definedName name="_xlnm.Print_Area">#N/A</definedName>
    <definedName name="Print_Area_2">'[2]Table 9'!$AE$3:$AQ$80</definedName>
    <definedName name="Print_Area_MI">#REF!</definedName>
    <definedName name="PRINT_TITLES_MI">#REF!</definedName>
    <definedName name="ReportSet">'[1]Bomb Calcs'!$A$4</definedName>
    <definedName name="RowCount">'[1]Bomb Calcs'!$A$53</definedName>
    <definedName name="Ten_yr_Project">#REF!</definedName>
    <definedName name="Type">#REF!</definedName>
    <definedName name="wrn.DRJ10." hidden="1">{"DRJ-10",#N/A,FALSE,"Condensate"}</definedName>
  </definedNames>
  <calcPr fullCalcOnLoad="1"/>
</workbook>
</file>

<file path=xl/sharedStrings.xml><?xml version="1.0" encoding="utf-8"?>
<sst xmlns="http://schemas.openxmlformats.org/spreadsheetml/2006/main" count="468" uniqueCount="307">
  <si>
    <t>Appraising Equipment for Structured Finance Transactions Creating Residual Value Curves to Reflect Physical Depreciation, Obsolence and Useful Life, written by D. Gregg Dight, ASA</t>
  </si>
  <si>
    <t>Fair value</t>
  </si>
  <si>
    <r>
      <t>Leakage
(t CO</t>
    </r>
    <r>
      <rPr>
        <b/>
        <vertAlign val="subscript"/>
        <sz val="10"/>
        <rFont val="Times New Roman"/>
        <family val="0"/>
      </rPr>
      <t>2</t>
    </r>
    <r>
      <rPr>
        <b/>
        <sz val="10"/>
        <rFont val="Times New Roman"/>
        <family val="0"/>
      </rPr>
      <t>e)</t>
    </r>
  </si>
  <si>
    <r>
      <t>Emissions reductions  
(t CO</t>
    </r>
    <r>
      <rPr>
        <b/>
        <vertAlign val="subscript"/>
        <sz val="10"/>
        <rFont val="Times New Roman"/>
        <family val="0"/>
      </rPr>
      <t>2</t>
    </r>
    <r>
      <rPr>
        <b/>
        <sz val="10"/>
        <rFont val="Times New Roman"/>
        <family val="0"/>
      </rPr>
      <t>e)</t>
    </r>
  </si>
  <si>
    <t>Arrie Tjahyo Setiawan, Alin Pratidina</t>
  </si>
  <si>
    <t>AMOUNT OF REDUCTION IN INVESTMENT COSTS :</t>
  </si>
  <si>
    <t>CEF  ( tCO2e / MWh )</t>
  </si>
  <si>
    <t>Investment Cost</t>
  </si>
  <si>
    <t>IRR</t>
  </si>
  <si>
    <t>Cashflow</t>
  </si>
  <si>
    <t>All amount in USD</t>
  </si>
  <si>
    <t>Per year (average)</t>
  </si>
  <si>
    <t>Total operational Costs from PGE feasibility study</t>
  </si>
  <si>
    <t>USD / year</t>
  </si>
  <si>
    <t>PGE Feasibility Study, page 25
This cost incurred at year 7</t>
  </si>
  <si>
    <t>against operation costs</t>
  </si>
  <si>
    <t>Fugitive carbon dioxide and methane emissions due to release of non-condensable gases from the produced steam</t>
  </si>
  <si>
    <t>Year</t>
  </si>
  <si>
    <t>Total Project Emissions</t>
  </si>
  <si>
    <t xml:space="preserve"> (fill in: 2012 - year of implementation)</t>
  </si>
  <si>
    <t>Market price</t>
  </si>
  <si>
    <t>Eur/tCO2 (Take 5 if you want to be bullish, take 3 of you want to be conservative)</t>
  </si>
  <si>
    <t>Steam is calculated based on gross installed capacity multiplies by 8 tonnes steam per hour (31.8 MW x 8 tonnes per hour x 8760 hour x 90%). PGE Feasibility Study, page 12</t>
  </si>
  <si>
    <t>Fair value</t>
  </si>
  <si>
    <t>Fair value</t>
  </si>
  <si>
    <t>Eur/MWh</t>
  </si>
  <si>
    <t>Ukraine</t>
  </si>
  <si>
    <t>(decrease in investment costs)</t>
  </si>
  <si>
    <t>Sensitivity Analysis 3</t>
  </si>
  <si>
    <t>AMOUNT OF REDUCTION IN OPERATION COSTS :</t>
  </si>
  <si>
    <t>Operation costs</t>
  </si>
  <si>
    <t>Total depreciation for upstream and downstream</t>
  </si>
  <si>
    <t>Investment y = -1</t>
  </si>
  <si>
    <t>Investment y = -2</t>
  </si>
  <si>
    <t>Source</t>
  </si>
  <si>
    <t>Calculated</t>
  </si>
  <si>
    <r>
      <t>w</t>
    </r>
    <r>
      <rPr>
        <b/>
        <i/>
        <vertAlign val="subscript"/>
        <sz val="11"/>
        <rFont val="Arial"/>
        <family val="2"/>
      </rPr>
      <t>steam,CH4,y</t>
    </r>
  </si>
  <si>
    <r>
      <t>M</t>
    </r>
    <r>
      <rPr>
        <b/>
        <i/>
        <vertAlign val="subscript"/>
        <sz val="11"/>
        <rFont val="Arial"/>
        <family val="2"/>
      </rPr>
      <t>Steam,y</t>
    </r>
  </si>
  <si>
    <t>PROJECT DATA</t>
  </si>
  <si>
    <t>Indonesian DNA website, link: http://pasarkarbon.dnpi.go.id/web/index.php/dnacdm/read/23/updates-on-emission-factors-of-electricity-interconnection-systems-2011.html</t>
  </si>
  <si>
    <t>Brealey Myers  "Principles of Corporate Finance"  (page 46)</t>
  </si>
  <si>
    <t>EB-62 annex 5</t>
  </si>
  <si>
    <t>Appendix - Default values for the expected return on equity</t>
  </si>
  <si>
    <t>Return on equity  (real)</t>
  </si>
  <si>
    <t>calculated</t>
  </si>
  <si>
    <t>Depreciation for downstream</t>
  </si>
  <si>
    <t>Benchmark</t>
  </si>
  <si>
    <t>values per country per year</t>
  </si>
  <si>
    <t>BASELINE DATA</t>
  </si>
  <si>
    <t>Generation</t>
  </si>
  <si>
    <t>USD</t>
  </si>
  <si>
    <r>
      <t>tCO2/MWh (look under sheet"</t>
    </r>
    <r>
      <rPr>
        <b/>
        <sz val="10"/>
        <rFont val="Arial"/>
        <family val="2"/>
      </rPr>
      <t>CEF Non-Annex I</t>
    </r>
    <r>
      <rPr>
        <sz val="10"/>
        <rFont val="Arial"/>
        <family val="2"/>
      </rPr>
      <t>" and sheet "</t>
    </r>
    <r>
      <rPr>
        <b/>
        <sz val="10"/>
        <rFont val="Arial"/>
        <family val="2"/>
      </rPr>
      <t>CEF - Eastern Europe</t>
    </r>
    <r>
      <rPr>
        <sz val="10"/>
        <rFont val="Arial"/>
        <family val="2"/>
      </rPr>
      <t>" for CEF of country where project takes place</t>
    </r>
  </si>
  <si>
    <t>USD / year</t>
  </si>
  <si>
    <t>don't fill in</t>
  </si>
  <si>
    <t>Other costs  (geothermal make up wells)</t>
  </si>
  <si>
    <t>Calendar year</t>
  </si>
  <si>
    <t>Name of Grid</t>
  </si>
  <si>
    <t xml:space="preserve">Project Kamojang 5 PT. Pertamina Geothermal Energy </t>
  </si>
  <si>
    <t>B.6.3 Ex-ante calculation of emission reductions</t>
  </si>
  <si>
    <t>Depreciation for upstream and downstream</t>
  </si>
  <si>
    <t>Total depreciation upstream and downstream (USD)</t>
  </si>
  <si>
    <t>Crediting period  ( years )</t>
  </si>
  <si>
    <t>Link: http://www.imf.org/external/pubs/ft/weo/2010/01/weodata/weorept.aspx?pr.x=41
&amp;pr.y=9&amp;sy=2008&amp;ey=2015&amp;ssd=1&amp;sort=country&amp;ds=.&amp;br=1&amp;c=536&amp;s=PCPI%2CPCPIPCH&amp;
grp=0&amp;a=</t>
  </si>
  <si>
    <r>
      <t>Operating margin CO</t>
    </r>
    <r>
      <rPr>
        <vertAlign val="subscript"/>
        <sz val="10"/>
        <rFont val="Times New Roman"/>
        <family val="0"/>
      </rPr>
      <t>2</t>
    </r>
    <r>
      <rPr>
        <sz val="10"/>
        <rFont val="Times New Roman"/>
        <family val="1"/>
      </rPr>
      <t xml:space="preserve"> emission factor in year y calculated using the latest version of the "Tool to calculate the emission factor for an electricity system" (EF</t>
    </r>
    <r>
      <rPr>
        <vertAlign val="subscript"/>
        <sz val="10"/>
        <rFont val="Times New Roman"/>
        <family val="0"/>
      </rPr>
      <t>grid,OM,y</t>
    </r>
    <r>
      <rPr>
        <sz val="10"/>
        <rFont val="Times New Roman"/>
        <family val="1"/>
      </rPr>
      <t xml:space="preserve"> in tCO</t>
    </r>
    <r>
      <rPr>
        <vertAlign val="subscript"/>
        <sz val="10"/>
        <rFont val="Times New Roman"/>
        <family val="0"/>
      </rPr>
      <t>2</t>
    </r>
    <r>
      <rPr>
        <sz val="10"/>
        <rFont val="Times New Roman"/>
        <family val="1"/>
      </rPr>
      <t xml:space="preserve"> / MWh)</t>
    </r>
  </si>
  <si>
    <t>Grid EF (build margin)</t>
  </si>
  <si>
    <t>Grid EF (operating margin)</t>
  </si>
  <si>
    <t>Monitoring Report of Kamojang geothermal registered project page 9</t>
  </si>
  <si>
    <t>Net Emission Reductions  ( tCO2e / year )</t>
  </si>
  <si>
    <t>%</t>
  </si>
  <si>
    <t>FINANCIAL PARAMETERS</t>
  </si>
  <si>
    <t>Electricity Price</t>
  </si>
  <si>
    <r>
      <t>GWP</t>
    </r>
    <r>
      <rPr>
        <b/>
        <i/>
        <vertAlign val="subscript"/>
        <sz val="11"/>
        <rFont val="Arial"/>
        <family val="2"/>
      </rPr>
      <t>CH4</t>
    </r>
  </si>
  <si>
    <r>
      <t>Total  ( t.CO</t>
    </r>
    <r>
      <rPr>
        <b/>
        <vertAlign val="subscript"/>
        <sz val="10"/>
        <rFont val="Times New Roman"/>
        <family val="0"/>
      </rPr>
      <t>2</t>
    </r>
    <r>
      <rPr>
        <b/>
        <sz val="10"/>
        <rFont val="Times New Roman"/>
        <family val="0"/>
      </rPr>
      <t>e )</t>
    </r>
  </si>
  <si>
    <t>tonnes / year</t>
  </si>
  <si>
    <t>t.CO2 / t.steam</t>
  </si>
  <si>
    <t>Only enter figures in green cells</t>
  </si>
  <si>
    <t>Other assumptions</t>
  </si>
  <si>
    <t>CEF of grid electricity</t>
  </si>
  <si>
    <t>crediting period</t>
  </si>
  <si>
    <t>Sensitivity Analysis 1</t>
  </si>
  <si>
    <t>Total invesment (steam field and power plant development)</t>
  </si>
  <si>
    <t>Grid EF  (combined margin)</t>
  </si>
  <si>
    <t>TOTAL COSTS</t>
  </si>
  <si>
    <t>Romania</t>
  </si>
  <si>
    <t>Russia</t>
  </si>
  <si>
    <r>
      <t>Quantity of net electricity generation that produced and fed into the grid as a result of the implementation of the CDM project activity in year y (</t>
    </r>
    <r>
      <rPr>
        <i/>
        <sz val="10"/>
        <rFont val="Times New Roman"/>
        <family val="0"/>
      </rPr>
      <t>EG</t>
    </r>
    <r>
      <rPr>
        <i/>
        <vertAlign val="subscript"/>
        <sz val="10"/>
        <rFont val="Times New Roman"/>
        <family val="0"/>
      </rPr>
      <t>PJ,y</t>
    </r>
    <r>
      <rPr>
        <sz val="10"/>
        <rFont val="Times New Roman"/>
        <family val="1"/>
      </rPr>
      <t xml:space="preserve"> in MWh)</t>
    </r>
  </si>
  <si>
    <r>
      <t>Baseline emissions in year y (</t>
    </r>
    <r>
      <rPr>
        <i/>
        <sz val="10"/>
        <rFont val="Times New Roman"/>
        <family val="0"/>
      </rPr>
      <t>BE</t>
    </r>
    <r>
      <rPr>
        <i/>
        <vertAlign val="subscript"/>
        <sz val="10"/>
        <rFont val="Times New Roman"/>
        <family val="0"/>
      </rPr>
      <t>y</t>
    </r>
    <r>
      <rPr>
        <sz val="10"/>
        <rFont val="Times New Roman"/>
        <family val="1"/>
      </rPr>
      <t xml:space="preserve"> in tCO</t>
    </r>
    <r>
      <rPr>
        <vertAlign val="subscript"/>
        <sz val="10"/>
        <rFont val="Times New Roman"/>
        <family val="0"/>
      </rPr>
      <t>2</t>
    </r>
    <r>
      <rPr>
        <sz val="10"/>
        <rFont val="Times New Roman"/>
        <family val="1"/>
      </rPr>
      <t>)</t>
    </r>
  </si>
  <si>
    <t>Jamali</t>
  </si>
  <si>
    <t>PGE Project Plan and Status for Kamojang 5</t>
  </si>
  <si>
    <t>Depreciation upstream, Y0</t>
  </si>
  <si>
    <t>Presidential Decree No. 49 issued in 1991</t>
  </si>
  <si>
    <t>Take 8% if you don't know</t>
  </si>
  <si>
    <t>Project lifetime</t>
  </si>
  <si>
    <t>TOTAL INCOME</t>
  </si>
  <si>
    <t>Return on Equity (RoE)</t>
  </si>
  <si>
    <t>Return on equity  (nominal)</t>
  </si>
  <si>
    <r>
      <t>Combined margin CO</t>
    </r>
    <r>
      <rPr>
        <vertAlign val="subscript"/>
        <sz val="10"/>
        <rFont val="Times New Roman"/>
        <family val="0"/>
      </rPr>
      <t>2</t>
    </r>
    <r>
      <rPr>
        <sz val="10"/>
        <rFont val="Times New Roman"/>
        <family val="1"/>
      </rPr>
      <t xml:space="preserve"> emission factor for frid connected power generation in year y calculated using the latest version of the "Tool to calculate the emission factor for an electricity system" (</t>
    </r>
    <r>
      <rPr>
        <i/>
        <sz val="10"/>
        <rFont val="Times New Roman"/>
        <family val="0"/>
      </rPr>
      <t>EF</t>
    </r>
    <r>
      <rPr>
        <i/>
        <vertAlign val="subscript"/>
        <sz val="10"/>
        <rFont val="Times New Roman"/>
        <family val="0"/>
      </rPr>
      <t>grid,CM,y</t>
    </r>
    <r>
      <rPr>
        <sz val="10"/>
        <rFont val="Times New Roman"/>
        <family val="1"/>
      </rPr>
      <t xml:space="preserve"> in tCO</t>
    </r>
    <r>
      <rPr>
        <vertAlign val="subscript"/>
        <sz val="10"/>
        <rFont val="Times New Roman"/>
        <family val="0"/>
      </rPr>
      <t>2</t>
    </r>
    <r>
      <rPr>
        <sz val="10"/>
        <rFont val="Times New Roman"/>
        <family val="1"/>
      </rPr>
      <t xml:space="preserve"> / MWh)</t>
    </r>
  </si>
  <si>
    <r>
      <t>Quantity of net electricity generation supplied by the project plant/unit to the grid in year y (</t>
    </r>
    <r>
      <rPr>
        <i/>
        <sz val="10"/>
        <rFont val="Times New Roman"/>
        <family val="0"/>
      </rPr>
      <t>EG</t>
    </r>
    <r>
      <rPr>
        <i/>
        <vertAlign val="subscript"/>
        <sz val="10"/>
        <rFont val="Times New Roman"/>
        <family val="0"/>
      </rPr>
      <t>facility,y</t>
    </r>
    <r>
      <rPr>
        <sz val="10"/>
        <rFont val="Times New Roman"/>
        <family val="1"/>
      </rPr>
      <t xml:space="preserve"> in MWh)</t>
    </r>
  </si>
  <si>
    <t>(base case)</t>
  </si>
  <si>
    <t>Variation +10 % /-10 % :</t>
  </si>
  <si>
    <t>Variation to breach the benchmark:</t>
  </si>
  <si>
    <t>Development - power plant development</t>
  </si>
  <si>
    <t>Development - steam field development</t>
  </si>
  <si>
    <t>Investment y = 0</t>
  </si>
  <si>
    <t>MWh / year</t>
  </si>
  <si>
    <t>USD / MWh</t>
  </si>
  <si>
    <t>Upstream operation Cost in US$/MWh</t>
  </si>
  <si>
    <t>Legenda</t>
  </si>
  <si>
    <t>Fill in</t>
  </si>
  <si>
    <t>Return on Equity (RoE)</t>
  </si>
  <si>
    <t>%</t>
  </si>
  <si>
    <t>Carbon revenues per MWh</t>
  </si>
  <si>
    <t>USD</t>
  </si>
  <si>
    <t>AMOUNT OF INCREASE IN REVENUES :</t>
  </si>
  <si>
    <t>Environmental benefits</t>
  </si>
  <si>
    <t>(base case)</t>
  </si>
  <si>
    <t>(If you don't know the load factor of your project, take 50% for biomass, hydro and 25% for wind)</t>
  </si>
  <si>
    <t>hours per year</t>
  </si>
  <si>
    <t>Geothermal Tax</t>
  </si>
  <si>
    <r>
      <t>t.CO</t>
    </r>
    <r>
      <rPr>
        <b/>
        <vertAlign val="subscript"/>
        <sz val="11"/>
        <rFont val="Arial"/>
        <family val="0"/>
      </rPr>
      <t>2</t>
    </r>
    <r>
      <rPr>
        <b/>
        <sz val="11"/>
        <rFont val="Arial"/>
        <family val="2"/>
      </rPr>
      <t>e</t>
    </r>
  </si>
  <si>
    <t>in tCO2/MWh</t>
  </si>
  <si>
    <t>Average</t>
  </si>
  <si>
    <t>Belarus</t>
  </si>
  <si>
    <t>Emission reduction calculations (ERUs):</t>
  </si>
  <si>
    <t>Capacity (MW)</t>
  </si>
  <si>
    <t>(US $ / year)</t>
  </si>
  <si>
    <t>Discount rate</t>
  </si>
  <si>
    <t>(decrease in operation costs)</t>
  </si>
  <si>
    <t>Depreciation for upstream</t>
  </si>
  <si>
    <t>% p.a.</t>
  </si>
  <si>
    <t>Insurance</t>
  </si>
  <si>
    <t>Data input and summary of results:</t>
  </si>
  <si>
    <t>Project emissions</t>
  </si>
  <si>
    <t>Benchmark</t>
  </si>
  <si>
    <t>Project name:</t>
  </si>
  <si>
    <t>Version:</t>
  </si>
  <si>
    <t>Prepared by:</t>
  </si>
  <si>
    <t>Annual revenues</t>
  </si>
  <si>
    <t>Eur/year</t>
  </si>
  <si>
    <t>Year</t>
  </si>
  <si>
    <t>Powerplant operation Cost in US$/MWh</t>
  </si>
  <si>
    <t>(against operation costs)</t>
  </si>
  <si>
    <t>CO2 (NCG) content in geothermal steam</t>
  </si>
  <si>
    <t>t.CO2e / MWh</t>
  </si>
  <si>
    <t>years</t>
  </si>
  <si>
    <t>See results in yellow cells. Do not alter Yellow cells.</t>
  </si>
  <si>
    <t>Number of operating hours per year</t>
  </si>
  <si>
    <t>USD</t>
  </si>
  <si>
    <t>tonnes</t>
  </si>
  <si>
    <t>ACM 0002</t>
  </si>
  <si>
    <t>Results</t>
  </si>
  <si>
    <t>MWh / year</t>
  </si>
  <si>
    <t>MWh</t>
  </si>
  <si>
    <r>
      <t>PE</t>
    </r>
    <r>
      <rPr>
        <b/>
        <vertAlign val="subscript"/>
        <sz val="11"/>
        <rFont val="Arial"/>
        <family val="0"/>
      </rPr>
      <t>GP,y</t>
    </r>
  </si>
  <si>
    <r>
      <t>w</t>
    </r>
    <r>
      <rPr>
        <b/>
        <i/>
        <vertAlign val="subscript"/>
        <sz val="11"/>
        <rFont val="Arial"/>
        <family val="2"/>
      </rPr>
      <t>steam,CO2,y</t>
    </r>
  </si>
  <si>
    <t>(US $ / MW)</t>
  </si>
  <si>
    <t>Capital cost</t>
  </si>
  <si>
    <t>Total</t>
  </si>
  <si>
    <t>RESULTS POST TAX</t>
  </si>
  <si>
    <t>Crediting period</t>
  </si>
  <si>
    <r>
      <t>Date</t>
    </r>
    <r>
      <rPr>
        <sz val="8"/>
        <rFont val="Arial"/>
        <family val="0"/>
      </rPr>
      <t xml:space="preserve"> Project starts Operating</t>
    </r>
  </si>
  <si>
    <t>US$ / MWh</t>
  </si>
  <si>
    <t>Latvia</t>
  </si>
  <si>
    <t>Poland</t>
  </si>
  <si>
    <r>
      <t>Year</t>
    </r>
    <r>
      <rPr>
        <b/>
        <sz val="8"/>
        <rFont val="Arial"/>
        <family val="2"/>
      </rPr>
      <t xml:space="preserve"> Crediting Period </t>
    </r>
    <r>
      <rPr>
        <sz val="8"/>
        <rFont val="Arial"/>
        <family val="0"/>
      </rPr>
      <t>starts</t>
    </r>
  </si>
  <si>
    <r>
      <t>PE</t>
    </r>
    <r>
      <rPr>
        <b/>
        <vertAlign val="subscript"/>
        <sz val="11"/>
        <rFont val="Arial"/>
        <family val="0"/>
      </rPr>
      <t>y</t>
    </r>
  </si>
  <si>
    <t>Formula used</t>
  </si>
  <si>
    <t>EMISSIONS CALC INPUTS</t>
  </si>
  <si>
    <t>USD</t>
  </si>
  <si>
    <t>USD</t>
  </si>
  <si>
    <r>
      <t>Build margin CO</t>
    </r>
    <r>
      <rPr>
        <vertAlign val="subscript"/>
        <sz val="10"/>
        <rFont val="Times New Roman"/>
        <family val="0"/>
      </rPr>
      <t>2</t>
    </r>
    <r>
      <rPr>
        <sz val="10"/>
        <rFont val="Times New Roman"/>
        <family val="1"/>
      </rPr>
      <t xml:space="preserve"> emission factor in year y calculated using the latest version of the "Tool to calculate the emission factor for an electricity system" (EF</t>
    </r>
    <r>
      <rPr>
        <vertAlign val="subscript"/>
        <sz val="10"/>
        <rFont val="Times New Roman"/>
        <family val="0"/>
      </rPr>
      <t>grid,BM,y</t>
    </r>
    <r>
      <rPr>
        <sz val="10"/>
        <rFont val="Times New Roman"/>
        <family val="1"/>
      </rPr>
      <t xml:space="preserve"> in tCO</t>
    </r>
    <r>
      <rPr>
        <vertAlign val="subscript"/>
        <sz val="10"/>
        <rFont val="Times New Roman"/>
        <family val="0"/>
      </rPr>
      <t>2</t>
    </r>
    <r>
      <rPr>
        <sz val="10"/>
        <rFont val="Times New Roman"/>
        <family val="1"/>
      </rPr>
      <t xml:space="preserve"> / MWh)</t>
    </r>
  </si>
  <si>
    <t>Sensitivity Analysis 2</t>
  </si>
  <si>
    <t>US$ / year</t>
  </si>
  <si>
    <t>Variables</t>
  </si>
  <si>
    <t>Y3</t>
  </si>
  <si>
    <t>Y4</t>
  </si>
  <si>
    <t>Y5</t>
  </si>
  <si>
    <t>Y6</t>
  </si>
  <si>
    <t>Y7</t>
  </si>
  <si>
    <r>
      <t>Baseline emissions  
(t CO</t>
    </r>
    <r>
      <rPr>
        <b/>
        <vertAlign val="subscript"/>
        <sz val="10"/>
        <rFont val="Times New Roman"/>
        <family val="0"/>
      </rPr>
      <t>2</t>
    </r>
    <r>
      <rPr>
        <b/>
        <sz val="10"/>
        <rFont val="Times New Roman"/>
        <family val="0"/>
      </rPr>
      <t>e)</t>
    </r>
  </si>
  <si>
    <r>
      <t>Project emissions  
(t CO</t>
    </r>
    <r>
      <rPr>
        <b/>
        <vertAlign val="subscript"/>
        <sz val="10"/>
        <rFont val="Times New Roman"/>
        <family val="0"/>
      </rPr>
      <t>2</t>
    </r>
    <r>
      <rPr>
        <b/>
        <sz val="10"/>
        <rFont val="Times New Roman"/>
        <family val="0"/>
      </rPr>
      <t>e)</t>
    </r>
  </si>
  <si>
    <t>Hungary</t>
  </si>
  <si>
    <t>source</t>
  </si>
  <si>
    <t>Project Emissions</t>
  </si>
  <si>
    <t>CH4 (NCG) content in geothermal steam</t>
  </si>
  <si>
    <r>
      <t>t.CO</t>
    </r>
    <r>
      <rPr>
        <b/>
        <vertAlign val="subscript"/>
        <sz val="11"/>
        <rFont val="Arial"/>
        <family val="0"/>
      </rPr>
      <t>2</t>
    </r>
    <r>
      <rPr>
        <b/>
        <sz val="11"/>
        <rFont val="Arial"/>
        <family val="2"/>
      </rPr>
      <t xml:space="preserve"> / t.steam</t>
    </r>
  </si>
  <si>
    <t>US$ / MWh</t>
  </si>
  <si>
    <t>Electricity Generation</t>
  </si>
  <si>
    <t>Calculated</t>
  </si>
  <si>
    <r>
      <t xml:space="preserve">Installed Capacity of </t>
    </r>
    <r>
      <rPr>
        <b/>
        <sz val="8"/>
        <rFont val="Arial"/>
        <family val="2"/>
      </rPr>
      <t>Project</t>
    </r>
    <r>
      <rPr>
        <sz val="8"/>
        <rFont val="Arial"/>
        <family val="0"/>
      </rPr>
      <t xml:space="preserve"> units</t>
    </r>
  </si>
  <si>
    <t>Operating period</t>
  </si>
  <si>
    <t>value</t>
  </si>
  <si>
    <t>unit</t>
  </si>
  <si>
    <t>Insurance</t>
  </si>
  <si>
    <t>Kamojang 5 Power Plant</t>
  </si>
  <si>
    <t>Overall load factor in project scenario</t>
  </si>
  <si>
    <t>Geothermal (corporate income) Tax</t>
  </si>
  <si>
    <t>COSTS AND EQUIPMENT (US$)</t>
  </si>
  <si>
    <t>Inflation (IMF, Indonesia)</t>
  </si>
  <si>
    <t>Inflation</t>
  </si>
  <si>
    <t>Inflation average value 2011-2015 (exclude value in 2008 and 2009)</t>
  </si>
  <si>
    <t>Electricity output per year</t>
  </si>
  <si>
    <t>US$</t>
  </si>
  <si>
    <t>MW installed capacity</t>
  </si>
  <si>
    <t xml:space="preserve">loadfactor </t>
  </si>
  <si>
    <t>Emission reductions</t>
  </si>
  <si>
    <t>Project year</t>
  </si>
  <si>
    <t>Slovakia</t>
  </si>
  <si>
    <t>Total depreciation for upstream and downstream</t>
  </si>
  <si>
    <t>Depreciation years</t>
  </si>
  <si>
    <t>(in %)</t>
  </si>
  <si>
    <t>Investment y = -3</t>
  </si>
  <si>
    <t>Depreciation downstream, Y0</t>
  </si>
  <si>
    <t>Estimated On-line availability of Equipment (%)</t>
  </si>
  <si>
    <t>Slovenia</t>
  </si>
  <si>
    <t>PGE Feasibility Study, page 12, where mentioned that PLN will be bound to have a PPA of 30 years period.</t>
  </si>
  <si>
    <t>PGE Feasibility Study, page 12</t>
  </si>
  <si>
    <t>Calculated; PGE Feasibility Study, page 12</t>
  </si>
  <si>
    <t>PGE Feasibility Study, page 20</t>
  </si>
  <si>
    <t>PGE Feasibility Study, page 21</t>
  </si>
  <si>
    <t>Calculated as per PGE Feasibility Study, page 21</t>
  </si>
  <si>
    <t>PGE Feasibility Study, page 21</t>
  </si>
  <si>
    <t>Year</t>
  </si>
  <si>
    <t>O &amp; M Cost</t>
  </si>
  <si>
    <t>Upstream wells O &amp; M</t>
  </si>
  <si>
    <t>Powerplant O &amp; M</t>
  </si>
  <si>
    <t>Operating costs component</t>
  </si>
  <si>
    <t>a) Investment cost</t>
  </si>
  <si>
    <t>PGE Project Plan and Status for Kamojang 5</t>
  </si>
  <si>
    <t>USD / year</t>
  </si>
  <si>
    <r>
      <t>t.CO</t>
    </r>
    <r>
      <rPr>
        <b/>
        <vertAlign val="subscript"/>
        <sz val="11"/>
        <rFont val="Arial"/>
        <family val="0"/>
      </rPr>
      <t>2</t>
    </r>
    <r>
      <rPr>
        <b/>
        <sz val="11"/>
        <rFont val="Arial"/>
        <family val="2"/>
      </rPr>
      <t xml:space="preserve"> / t.CH4</t>
    </r>
  </si>
  <si>
    <t>EBITDA</t>
  </si>
  <si>
    <t>BASE CASE</t>
  </si>
  <si>
    <t>tCO2/MWh  (= 0 for renewable and energy efficiency projects)</t>
  </si>
  <si>
    <t>Power Generation</t>
  </si>
  <si>
    <t>Project characteristics</t>
  </si>
  <si>
    <t>comments</t>
  </si>
  <si>
    <t>Project size</t>
  </si>
  <si>
    <t>Electricity revenue</t>
  </si>
  <si>
    <t>EB 62 Report, Annex 5
Appendix
Default values for the expected return on equity
7. In situations where an investment analysis is carried out in nominal terms, project participants can convert the real term values provided in the table below to nominal values by adding the inflation rate. The inflation rate shall be obtained from the inflation forecast of the central bank of the host country for the duration of the crediting period. If this information is not available, the target inflation rate of the central bank shall be used. If this information is also not available, then the average forecasted inflation rate for the host country published by the IMF (International Monetary Fund World Economic Outlook) or the World Bank for the next five years after the start of the project activity shall be used.</t>
  </si>
  <si>
    <t>year</t>
  </si>
  <si>
    <t>year</t>
  </si>
  <si>
    <t>(increase in revenues)</t>
  </si>
  <si>
    <t>Monitoring Report of Kamojang geothermal registered project page 10</t>
  </si>
  <si>
    <t>Discounted present value of carbon revenues</t>
  </si>
  <si>
    <t>Depreciation calculation</t>
  </si>
  <si>
    <t>Total</t>
  </si>
  <si>
    <t>Total Investment</t>
  </si>
  <si>
    <t>b) operating cost</t>
  </si>
  <si>
    <t xml:space="preserve">Operating Costs </t>
  </si>
  <si>
    <t>Emission reductions per year</t>
  </si>
  <si>
    <t>tCo2/a</t>
  </si>
  <si>
    <t>Generation (MWh/year)</t>
  </si>
  <si>
    <r>
      <t>Year</t>
    </r>
    <r>
      <rPr>
        <sz val="8"/>
        <rFont val="Arial"/>
        <family val="0"/>
      </rPr>
      <t xml:space="preserve"> project starts operating</t>
    </r>
  </si>
  <si>
    <t>Orange cells = defaults and can be over-ridden</t>
  </si>
  <si>
    <t>Comments</t>
  </si>
  <si>
    <t>10 years straight line depreciation (equals to 10% p.a. for 10 years), PGE Feasibility Study, page 21</t>
  </si>
  <si>
    <t>20 year straight line depreciation (equals to 5% p.a. for 20 years), PGE Feasibility Study, page 21</t>
  </si>
  <si>
    <t>Depreciation upstream (make-up well), Y7</t>
  </si>
  <si>
    <t>Make-up wells maintenance costs at year 7</t>
  </si>
  <si>
    <t>FINANCIAL CALC INPUTS</t>
  </si>
  <si>
    <t>TOTAL INCOME</t>
  </si>
  <si>
    <t>TOTAL INCOME</t>
  </si>
  <si>
    <t>USD</t>
  </si>
  <si>
    <t>Steam field development (USD)</t>
  </si>
  <si>
    <t>Power plant development (USD)</t>
  </si>
  <si>
    <t>Y1</t>
  </si>
  <si>
    <t>Y2</t>
  </si>
  <si>
    <t>Sensitive analisys 3  (op) (-)</t>
  </si>
  <si>
    <t>Croatia</t>
  </si>
  <si>
    <t>Czech Republic</t>
  </si>
  <si>
    <t>Estonia</t>
  </si>
  <si>
    <t>Emission reductions over the project lifetime</t>
  </si>
  <si>
    <t>tCO2 for total project</t>
  </si>
  <si>
    <t>USD / year</t>
  </si>
  <si>
    <t>(if project data gives you the electricity generation figures, put it here)</t>
  </si>
  <si>
    <t>Benchmark calculation</t>
  </si>
  <si>
    <t>Development cost</t>
  </si>
  <si>
    <t>Baseline emissions</t>
  </si>
  <si>
    <t>PPA price</t>
  </si>
  <si>
    <t>Tables for PDD</t>
  </si>
  <si>
    <t>IRR (without CDM)</t>
  </si>
  <si>
    <t>%</t>
  </si>
  <si>
    <t>hour / year</t>
  </si>
  <si>
    <t>Geothermal steam consumption</t>
  </si>
  <si>
    <t>Financial benefits</t>
  </si>
  <si>
    <t>dd/mm/yyyy</t>
  </si>
  <si>
    <t>Cashflow after depreciation (for tax calculation only)</t>
  </si>
  <si>
    <t>Bulgaria</t>
  </si>
  <si>
    <t>References from PGE Feasibility Study, page 21</t>
  </si>
  <si>
    <t>References from PGE Feasibility Study, page 20</t>
  </si>
  <si>
    <t>References from PGE Feasibility Study, page 21 and 25</t>
  </si>
  <si>
    <t>Baseline emissions  ( tCO2e / year )</t>
  </si>
  <si>
    <t xml:space="preserve">Total carbon revenues </t>
  </si>
  <si>
    <t>Year</t>
  </si>
  <si>
    <t>Sensitive analisys 2  (inv) (-)</t>
  </si>
  <si>
    <t>B.6.4 Summary of ex-ante estimation of emission reductions</t>
  </si>
  <si>
    <t>Sensitive analisys 1  (rev) (+)</t>
  </si>
  <si>
    <t>Capital - power plant development</t>
  </si>
  <si>
    <t>MW</t>
  </si>
  <si>
    <t>Table B1 Baseline electricity grid CO2 emission factors for JI projects generating electricity</t>
  </si>
  <si>
    <t>(Source: ERUPT Guidelines, 2001)</t>
  </si>
  <si>
    <t>Capital - steam field development</t>
  </si>
  <si>
    <t>Total Investment</t>
  </si>
  <si>
    <t>Assumptions</t>
  </si>
  <si>
    <t>5 years average</t>
  </si>
  <si>
    <t>Remarks</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</si>
</sst>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p&quot;#,##0_);\(&quot;Rp&quot;#,##0\)"/>
    <numFmt numFmtId="165" formatCode="&quot;Rp&quot;#,##0_);[Red]\(&quot;Rp&quot;#,##0\)"/>
    <numFmt numFmtId="166" formatCode="&quot;Rp&quot;#,##0.00_);\(&quot;Rp&quot;#,##0.00\)"/>
    <numFmt numFmtId="167" formatCode="&quot;Rp&quot;#,##0.00_);[Red]\(&quot;Rp&quot;#,##0.00\)"/>
    <numFmt numFmtId="168" formatCode="_(&quot;Rp&quot;* #,##0_);_(&quot;Rp&quot;* \(#,##0\);_(&quot;Rp&quot;* &quot;-&quot;_);_(@_)"/>
    <numFmt numFmtId="169" formatCode="_(&quot;Rp&quot;* #,##0.00_);_(&quot;Rp&quot;* \(#,##0.00\);_(&quot;Rp&quot;* &quot;-&quot;??_);_(@_)"/>
    <numFmt numFmtId="170" formatCode="_-* #,##0.00_-;\-* #,##0.00_-;_-* &quot;-&quot;??_-;_-@_-"/>
    <numFmt numFmtId="171" formatCode="0.0%"/>
    <numFmt numFmtId="172" formatCode="_-* #,##0_-;\-* #,##0_-;_-* &quot;-&quot;??_-;_-@_-"/>
    <numFmt numFmtId="173" formatCode="0.000"/>
    <numFmt numFmtId="174" formatCode="_-[$€-2]* #,##0.00_-;\-[$€-2]* #,##0.00_-;_-[$€-2]* &quot;-&quot;??_-"/>
    <numFmt numFmtId="175" formatCode="_-[$€-2]* #,##0_-;\-[$€-2]* #,##0_-;_-[$€-2]* &quot;-&quot;??_-"/>
    <numFmt numFmtId="176" formatCode="#,##0.000"/>
    <numFmt numFmtId="177" formatCode="[$$-409]#,##0_ ;[Red]\-[$$-409]#,##0\ "/>
    <numFmt numFmtId="178" formatCode="[$$-409]#,##0.00"/>
    <numFmt numFmtId="179" formatCode="#,##0.0"/>
    <numFmt numFmtId="180" formatCode="#,##0.0_);[Red]\(#,##0.0\)"/>
    <numFmt numFmtId="181" formatCode="_-* #,##0.0_-;\-* #,##0.0_-;_-* &quot;-&quot;??_-;_-@_-"/>
    <numFmt numFmtId="182" formatCode="0.0000000000"/>
    <numFmt numFmtId="183" formatCode="0.0"/>
    <numFmt numFmtId="184" formatCode="0.000%"/>
  </numFmts>
  <fonts count="70">
    <font>
      <sz val="10"/>
      <name val="Arial"/>
      <family val="2"/>
    </font>
    <font>
      <b/>
      <sz val="10"/>
      <name val="Verdana"/>
      <family val="0"/>
    </font>
    <font>
      <i/>
      <sz val="10"/>
      <name val="Verdana"/>
      <family val="0"/>
    </font>
    <font>
      <b/>
      <i/>
      <sz val="10"/>
      <name val="Verdana"/>
      <family val="0"/>
    </font>
    <font>
      <b/>
      <sz val="10"/>
      <name val="Arial"/>
      <family val="2"/>
    </font>
    <font>
      <sz val="8"/>
      <name val="Arial"/>
      <family val="0"/>
    </font>
    <font>
      <u val="single"/>
      <sz val="7.5"/>
      <color indexed="12"/>
      <name val="Arial"/>
      <family val="0"/>
    </font>
    <font>
      <b/>
      <sz val="14"/>
      <name val="Arial"/>
      <family val="2"/>
    </font>
    <font>
      <b/>
      <sz val="8"/>
      <name val="Arial"/>
      <family val="2"/>
    </font>
    <font>
      <b/>
      <sz val="16"/>
      <name val="Arial"/>
      <family val="2"/>
    </font>
    <font>
      <b/>
      <sz val="12"/>
      <name val="Arial"/>
      <family val="2"/>
    </font>
    <font>
      <sz val="16"/>
      <name val="Arial"/>
      <family val="2"/>
    </font>
    <font>
      <i/>
      <sz val="10"/>
      <name val="Arial"/>
      <family val="2"/>
    </font>
    <font>
      <sz val="10"/>
      <color indexed="9"/>
      <name val="Arial"/>
      <family val="2"/>
    </font>
    <font>
      <b/>
      <sz val="20"/>
      <color indexed="9"/>
      <name val="Arial"/>
      <family val="2"/>
    </font>
    <font>
      <sz val="20"/>
      <name val="Arial"/>
      <family val="0"/>
    </font>
    <font>
      <b/>
      <sz val="14"/>
      <color indexed="9"/>
      <name val="Arial"/>
      <family val="2"/>
    </font>
    <font>
      <sz val="14"/>
      <name val="Arial"/>
      <family val="2"/>
    </font>
    <font>
      <b/>
      <sz val="11"/>
      <name val="Arial"/>
      <family val="2"/>
    </font>
    <font>
      <b/>
      <vertAlign val="subscript"/>
      <sz val="11"/>
      <name val="Arial"/>
      <family val="0"/>
    </font>
    <font>
      <b/>
      <i/>
      <sz val="11"/>
      <name val="Arial"/>
      <family val="2"/>
    </font>
    <font>
      <b/>
      <i/>
      <vertAlign val="subscrip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8"/>
      <name val="Arial"/>
      <family val="2"/>
    </font>
    <font>
      <b/>
      <sz val="8"/>
      <color indexed="9"/>
      <name val="Arial"/>
      <family val="2"/>
    </font>
    <font>
      <sz val="8"/>
      <color indexed="9"/>
      <name val="Arial"/>
      <family val="2"/>
    </font>
    <font>
      <b/>
      <sz val="8"/>
      <color indexed="12"/>
      <name val="Arial"/>
      <family val="2"/>
    </font>
    <font>
      <u val="single"/>
      <sz val="8"/>
      <color indexed="12"/>
      <name val="Arial"/>
      <family val="2"/>
    </font>
    <font>
      <sz val="10"/>
      <color indexed="12"/>
      <name val="Arial"/>
      <family val="2"/>
    </font>
    <font>
      <sz val="8"/>
      <name val="Arial Narrow"/>
      <family val="2"/>
    </font>
    <font>
      <i/>
      <sz val="8"/>
      <name val="Arial"/>
      <family val="2"/>
    </font>
    <font>
      <b/>
      <i/>
      <sz val="10"/>
      <name val="Arial"/>
      <family val="2"/>
    </font>
    <font>
      <sz val="8"/>
      <name val="Verdana"/>
      <family val="0"/>
    </font>
    <font>
      <sz val="10"/>
      <name val="Arial Narrow"/>
      <family val="0"/>
    </font>
    <font>
      <b/>
      <sz val="10"/>
      <name val="Arial Narrow"/>
      <family val="0"/>
    </font>
    <font>
      <i/>
      <sz val="10"/>
      <name val="Arial Narrow"/>
      <family val="0"/>
    </font>
    <font>
      <sz val="10"/>
      <color indexed="12"/>
      <name val="Arial Narrow"/>
      <family val="0"/>
    </font>
    <font>
      <i/>
      <u val="single"/>
      <sz val="10"/>
      <name val="Arial Narrow"/>
      <family val="0"/>
    </font>
    <font>
      <u val="single"/>
      <sz val="8"/>
      <name val="Arial"/>
      <family val="0"/>
    </font>
    <font>
      <u val="single"/>
      <sz val="10"/>
      <color indexed="61"/>
      <name val="Arial"/>
      <family val="0"/>
    </font>
    <font>
      <sz val="10"/>
      <color indexed="55"/>
      <name val="Arial Narrow"/>
      <family val="0"/>
    </font>
    <font>
      <i/>
      <sz val="10"/>
      <color indexed="55"/>
      <name val="Arial Narrow"/>
      <family val="0"/>
    </font>
    <font>
      <i/>
      <sz val="10"/>
      <color indexed="55"/>
      <name val="Arial"/>
      <family val="2"/>
    </font>
    <font>
      <b/>
      <u val="single"/>
      <sz val="10"/>
      <name val="Arial Narrow"/>
      <family val="0"/>
    </font>
    <font>
      <b/>
      <i/>
      <sz val="10"/>
      <name val="Arial Narrow"/>
      <family val="0"/>
    </font>
    <font>
      <b/>
      <sz val="10"/>
      <color indexed="60"/>
      <name val="Arial Narrow"/>
      <family val="0"/>
    </font>
    <font>
      <sz val="10"/>
      <name val="Times New Roman"/>
      <family val="1"/>
    </font>
    <font>
      <b/>
      <sz val="10"/>
      <name val="Times New Roman"/>
      <family val="0"/>
    </font>
    <font>
      <b/>
      <vertAlign val="subscript"/>
      <sz val="10"/>
      <name val="Times New Roman"/>
      <family val="0"/>
    </font>
    <font>
      <vertAlign val="subscript"/>
      <sz val="10"/>
      <name val="Times New Roman"/>
      <family val="0"/>
    </font>
    <font>
      <i/>
      <sz val="10"/>
      <name val="Times New Roman"/>
      <family val="0"/>
    </font>
    <font>
      <i/>
      <vertAlign val="subscript"/>
      <sz val="10"/>
      <name val="Times New Roman"/>
      <family val="0"/>
    </font>
    <font>
      <sz val="10"/>
      <color indexed="10"/>
      <name val="Arial"/>
      <family val="0"/>
    </font>
    <font>
      <u val="single"/>
      <sz val="10"/>
      <name val="Arial"/>
      <family val="0"/>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
      <patternFill patternType="solid">
        <fgColor indexed="56"/>
        <bgColor indexed="64"/>
      </patternFill>
    </fill>
    <fill>
      <patternFill patternType="solid">
        <fgColor indexed="9"/>
        <bgColor indexed="64"/>
      </patternFill>
    </fill>
    <fill>
      <patternFill patternType="solid">
        <fgColor indexed="12"/>
        <bgColor indexed="64"/>
      </patternFill>
    </fill>
    <fill>
      <patternFill patternType="solid">
        <fgColor indexed="40"/>
        <bgColor indexed="64"/>
      </patternFill>
    </fill>
    <fill>
      <patternFill patternType="solid">
        <fgColor indexed="18"/>
        <bgColor indexed="64"/>
      </patternFill>
    </fill>
    <fill>
      <patternFill patternType="solid">
        <fgColor indexed="14"/>
        <bgColor indexed="64"/>
      </patternFill>
    </fill>
    <fill>
      <patternFill patternType="solid">
        <fgColor indexed="50"/>
        <bgColor indexed="64"/>
      </patternFill>
    </fill>
  </fills>
  <borders count="6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style="thin"/>
    </border>
    <border>
      <left style="medium"/>
      <right>
        <color indexed="63"/>
      </right>
      <top style="medium"/>
      <bottom>
        <color indexed="63"/>
      </bottom>
    </border>
    <border>
      <left style="medium"/>
      <right>
        <color indexed="63"/>
      </right>
      <top>
        <color indexed="63"/>
      </top>
      <bottom>
        <color indexed="63"/>
      </bottom>
    </border>
    <border>
      <left style="thin"/>
      <right style="thin"/>
      <top>
        <color indexed="63"/>
      </top>
      <bottom>
        <color indexed="63"/>
      </bottom>
    </border>
    <border>
      <left style="thin"/>
      <right style="thin"/>
      <top style="thin"/>
      <bottom style="thin"/>
    </border>
    <border>
      <left style="medium"/>
      <right>
        <color indexed="63"/>
      </right>
      <top>
        <color indexed="63"/>
      </top>
      <bottom style="medium"/>
    </border>
    <border>
      <left style="medium"/>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thin"/>
    </border>
    <border>
      <left style="medium"/>
      <right style="thin"/>
      <top>
        <color indexed="63"/>
      </top>
      <bottom>
        <color indexed="63"/>
      </bottom>
    </border>
    <border>
      <left style="medium"/>
      <right style="thin"/>
      <top style="thin"/>
      <bottom style="thin"/>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medium"/>
      <right style="thin"/>
      <top style="medium"/>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thin"/>
      <right style="thin"/>
      <top style="thin"/>
      <bottom style="medium"/>
    </border>
    <border>
      <left>
        <color indexed="63"/>
      </left>
      <right>
        <color indexed="63"/>
      </right>
      <top style="thin"/>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color indexed="63"/>
      </bottom>
    </border>
    <border>
      <left style="thin"/>
      <right style="thin"/>
      <top style="hair"/>
      <bottom style="hair"/>
    </border>
    <border>
      <left style="thin"/>
      <right>
        <color indexed="63"/>
      </right>
      <top style="hair"/>
      <bottom style="hair"/>
    </border>
    <border>
      <left>
        <color indexed="63"/>
      </left>
      <right style="thin"/>
      <top style="hair"/>
      <bottom style="hair"/>
    </border>
    <border>
      <left style="thin"/>
      <right style="medium"/>
      <top style="medium"/>
      <bottom>
        <color indexed="63"/>
      </bottom>
    </border>
    <border>
      <left style="thin"/>
      <right style="medium"/>
      <top>
        <color indexed="63"/>
      </top>
      <bottom style="thin"/>
    </border>
    <border>
      <left style="thin"/>
      <right style="medium"/>
      <top style="medium"/>
      <bottom style="medium"/>
    </border>
    <border>
      <left>
        <color indexed="63"/>
      </left>
      <right style="thin"/>
      <top style="medium"/>
      <bottom>
        <color indexed="63"/>
      </bottom>
    </border>
    <border>
      <left style="thin"/>
      <right style="thin"/>
      <top style="medium"/>
      <bottom>
        <color indexed="63"/>
      </bottom>
    </border>
    <border>
      <left style="thin"/>
      <right style="thin"/>
      <top style="medium"/>
      <bottom style="medium"/>
    </border>
    <border>
      <left>
        <color indexed="63"/>
      </left>
      <right style="thin"/>
      <top style="medium"/>
      <bottom style="thin"/>
    </border>
    <border>
      <left style="thin"/>
      <right style="thin"/>
      <top>
        <color indexed="63"/>
      </top>
      <bottom style="medium"/>
    </border>
    <border>
      <left style="thin"/>
      <right style="thin"/>
      <top style="thin"/>
      <bottom style="hair"/>
    </border>
    <border>
      <left style="thin"/>
      <right>
        <color indexed="63"/>
      </right>
      <top style="thin"/>
      <bottom style="hair"/>
    </border>
    <border>
      <left>
        <color indexed="63"/>
      </left>
      <right style="thin"/>
      <top style="thin"/>
      <bottom style="hair"/>
    </border>
    <border>
      <left style="thin"/>
      <right style="thin"/>
      <top style="hair"/>
      <bottom style="thin"/>
    </border>
    <border>
      <left style="thin"/>
      <right>
        <color indexed="63"/>
      </right>
      <top style="hair"/>
      <bottom style="thin"/>
    </border>
    <border>
      <left>
        <color indexed="63"/>
      </left>
      <right style="thin"/>
      <top style="hair"/>
      <bottom style="thin"/>
    </border>
    <border>
      <left>
        <color indexed="63"/>
      </left>
      <right style="double"/>
      <top style="thin"/>
      <bottom style="thin"/>
    </border>
    <border>
      <left>
        <color indexed="63"/>
      </left>
      <right style="double"/>
      <top>
        <color indexed="63"/>
      </top>
      <bottom>
        <color indexed="63"/>
      </bottom>
    </border>
    <border>
      <left style="thin"/>
      <right style="double"/>
      <top style="thin"/>
      <bottom style="thin"/>
    </border>
    <border>
      <left style="medium"/>
      <right style="thin"/>
      <top style="thin"/>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3" borderId="0" applyNumberFormat="0" applyBorder="0" applyAlignment="0" applyProtection="0"/>
    <xf numFmtId="0" fontId="26" fillId="16" borderId="0">
      <alignment/>
      <protection/>
    </xf>
    <xf numFmtId="0" fontId="25" fillId="20" borderId="1" applyNumberFormat="0" applyAlignment="0" applyProtection="0"/>
    <xf numFmtId="0" fontId="26" fillId="21" borderId="2" applyNumberFormat="0" applyAlignment="0" applyProtection="0"/>
    <xf numFmtId="170"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174" fontId="0" fillId="0" borderId="0" applyFont="0" applyFill="0" applyBorder="0" applyAlignment="0" applyProtection="0"/>
    <xf numFmtId="0" fontId="27" fillId="0" borderId="0" applyNumberFormat="0" applyFill="0" applyBorder="0" applyAlignment="0" applyProtection="0"/>
    <xf numFmtId="0" fontId="55" fillId="0" borderId="0" applyNumberFormat="0" applyFill="0" applyBorder="0" applyAlignment="0" applyProtection="0"/>
    <xf numFmtId="0" fontId="28" fillId="4"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2" fillId="7" borderId="1" applyNumberFormat="0" applyAlignment="0" applyProtection="0"/>
    <xf numFmtId="0" fontId="33" fillId="0" borderId="6" applyNumberFormat="0" applyFill="0" applyAlignment="0" applyProtection="0"/>
    <xf numFmtId="0" fontId="34" fillId="22" borderId="0" applyNumberFormat="0" applyBorder="0" applyAlignment="0" applyProtection="0"/>
    <xf numFmtId="0" fontId="0" fillId="23" borderId="7" applyNumberFormat="0" applyFont="0" applyAlignment="0" applyProtection="0"/>
    <xf numFmtId="0" fontId="35" fillId="20"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477">
    <xf numFmtId="0" fontId="0" fillId="0" borderId="0" xfId="0" applyAlignment="1">
      <alignment/>
    </xf>
    <xf numFmtId="38" fontId="7" fillId="24" borderId="0" xfId="0" applyNumberFormat="1" applyFont="1" applyFill="1" applyBorder="1" applyAlignment="1" applyProtection="1">
      <alignment horizontal="left"/>
      <protection/>
    </xf>
    <xf numFmtId="0" fontId="5" fillId="0" borderId="0" xfId="0" applyFont="1" applyAlignment="1">
      <alignment/>
    </xf>
    <xf numFmtId="0" fontId="8" fillId="0" borderId="0" xfId="0" applyFont="1" applyAlignment="1">
      <alignment/>
    </xf>
    <xf numFmtId="3" fontId="5" fillId="0" borderId="0" xfId="0" applyNumberFormat="1" applyFont="1" applyAlignment="1">
      <alignment/>
    </xf>
    <xf numFmtId="3" fontId="5" fillId="0" borderId="0" xfId="0" applyNumberFormat="1" applyFont="1" applyFill="1" applyAlignment="1">
      <alignment/>
    </xf>
    <xf numFmtId="0" fontId="8" fillId="22" borderId="10" xfId="0" applyFont="1" applyFill="1" applyBorder="1" applyAlignment="1">
      <alignment/>
    </xf>
    <xf numFmtId="37" fontId="5" fillId="0" borderId="0" xfId="0" applyNumberFormat="1" applyFont="1" applyAlignment="1" applyProtection="1">
      <alignment horizontal="center" vertical="center"/>
      <protection/>
    </xf>
    <xf numFmtId="37" fontId="0" fillId="0" borderId="0" xfId="0" applyNumberFormat="1" applyAlignment="1" applyProtection="1">
      <alignment horizontal="center" vertical="center"/>
      <protection/>
    </xf>
    <xf numFmtId="0" fontId="0" fillId="0" borderId="0" xfId="0" applyFill="1" applyAlignment="1">
      <alignment/>
    </xf>
    <xf numFmtId="0" fontId="5" fillId="0" borderId="0" xfId="0" applyFont="1" applyFill="1" applyAlignment="1">
      <alignment/>
    </xf>
    <xf numFmtId="38" fontId="7" fillId="0" borderId="0" xfId="0" applyNumberFormat="1" applyFont="1" applyFill="1" applyBorder="1" applyAlignment="1" applyProtection="1">
      <alignment horizontal="left"/>
      <protection/>
    </xf>
    <xf numFmtId="0" fontId="0" fillId="24" borderId="0" xfId="0" applyFill="1" applyAlignment="1">
      <alignment/>
    </xf>
    <xf numFmtId="0" fontId="5" fillId="0" borderId="0" xfId="0" applyFont="1" applyFill="1" applyAlignment="1" applyProtection="1">
      <alignment/>
      <protection/>
    </xf>
    <xf numFmtId="38" fontId="5" fillId="0" borderId="0" xfId="0" applyNumberFormat="1" applyFont="1" applyFill="1" applyAlignment="1" applyProtection="1">
      <alignment horizontal="center"/>
      <protection/>
    </xf>
    <xf numFmtId="0" fontId="4" fillId="0" borderId="0" xfId="0" applyFont="1" applyAlignment="1">
      <alignment/>
    </xf>
    <xf numFmtId="0" fontId="5" fillId="0" borderId="0" xfId="0" applyFont="1" applyAlignment="1">
      <alignment horizontal="center"/>
    </xf>
    <xf numFmtId="38" fontId="9" fillId="24" borderId="0" xfId="0" applyNumberFormat="1" applyFont="1" applyFill="1" applyBorder="1" applyAlignment="1" applyProtection="1">
      <alignment horizontal="left"/>
      <protection/>
    </xf>
    <xf numFmtId="0" fontId="11" fillId="24" borderId="0" xfId="0" applyFont="1" applyFill="1" applyAlignment="1">
      <alignment/>
    </xf>
    <xf numFmtId="0" fontId="0" fillId="0" borderId="0" xfId="0" applyBorder="1" applyAlignment="1">
      <alignment/>
    </xf>
    <xf numFmtId="0" fontId="0" fillId="0" borderId="0" xfId="0" applyFill="1" applyBorder="1" applyAlignment="1">
      <alignment/>
    </xf>
    <xf numFmtId="0" fontId="5" fillId="0" borderId="0" xfId="0" applyFont="1" applyBorder="1" applyAlignment="1">
      <alignment horizontal="center"/>
    </xf>
    <xf numFmtId="0" fontId="8" fillId="7" borderId="11" xfId="0" applyFont="1" applyFill="1" applyBorder="1" applyAlignment="1">
      <alignment horizontal="center"/>
    </xf>
    <xf numFmtId="0" fontId="5" fillId="7" borderId="12" xfId="0" applyFont="1" applyFill="1" applyBorder="1" applyAlignment="1">
      <alignment/>
    </xf>
    <xf numFmtId="0" fontId="5" fillId="7" borderId="12" xfId="0" applyFont="1" applyFill="1" applyBorder="1" applyAlignment="1" applyProtection="1">
      <alignment/>
      <protection/>
    </xf>
    <xf numFmtId="0" fontId="5" fillId="0" borderId="0" xfId="0" applyFont="1" applyFill="1" applyBorder="1" applyAlignment="1">
      <alignment/>
    </xf>
    <xf numFmtId="0" fontId="8" fillId="0" borderId="0" xfId="0" applyFont="1" applyFill="1" applyBorder="1" applyAlignment="1">
      <alignment/>
    </xf>
    <xf numFmtId="0" fontId="0" fillId="0" borderId="0" xfId="0" applyFont="1" applyAlignment="1">
      <alignment/>
    </xf>
    <xf numFmtId="0" fontId="12" fillId="0" borderId="0" xfId="0" applyFont="1" applyAlignment="1">
      <alignment/>
    </xf>
    <xf numFmtId="0" fontId="12" fillId="25" borderId="0" xfId="0" applyFont="1" applyFill="1" applyAlignment="1">
      <alignment/>
    </xf>
    <xf numFmtId="0" fontId="12" fillId="26" borderId="0" xfId="0" applyFont="1" applyFill="1" applyAlignment="1">
      <alignment/>
    </xf>
    <xf numFmtId="0" fontId="7" fillId="0" borderId="0" xfId="0" applyFont="1" applyAlignment="1">
      <alignment/>
    </xf>
    <xf numFmtId="0" fontId="0" fillId="25" borderId="0" xfId="0" applyFill="1" applyAlignment="1">
      <alignment/>
    </xf>
    <xf numFmtId="9" fontId="0" fillId="25" borderId="0" xfId="0" applyNumberFormat="1" applyFill="1" applyAlignment="1">
      <alignment/>
    </xf>
    <xf numFmtId="172" fontId="0" fillId="26" borderId="0" xfId="43" applyNumberFormat="1" applyFill="1" applyAlignment="1">
      <alignment/>
    </xf>
    <xf numFmtId="1" fontId="0" fillId="25" borderId="0" xfId="0" applyNumberFormat="1" applyFill="1" applyAlignment="1">
      <alignment/>
    </xf>
    <xf numFmtId="1" fontId="0" fillId="0" borderId="0" xfId="0" applyNumberFormat="1" applyAlignment="1">
      <alignment/>
    </xf>
    <xf numFmtId="175" fontId="0" fillId="26" borderId="0" xfId="47" applyNumberFormat="1" applyFill="1" applyAlignment="1">
      <alignment/>
    </xf>
    <xf numFmtId="174" fontId="0" fillId="26" borderId="0" xfId="47" applyFill="1" applyAlignment="1">
      <alignment/>
    </xf>
    <xf numFmtId="173" fontId="4" fillId="0" borderId="0" xfId="0" applyNumberFormat="1" applyFont="1" applyAlignment="1">
      <alignment/>
    </xf>
    <xf numFmtId="3" fontId="5" fillId="0" borderId="0" xfId="0" applyNumberFormat="1" applyFont="1" applyBorder="1" applyAlignment="1">
      <alignment horizontal="right"/>
    </xf>
    <xf numFmtId="3" fontId="5" fillId="0" borderId="0" xfId="0" applyNumberFormat="1" applyFont="1" applyBorder="1" applyAlignment="1">
      <alignment/>
    </xf>
    <xf numFmtId="0" fontId="10" fillId="0" borderId="0" xfId="0" applyFont="1" applyAlignment="1">
      <alignment/>
    </xf>
    <xf numFmtId="0" fontId="10" fillId="0" borderId="0" xfId="0" applyFont="1" applyBorder="1" applyAlignment="1">
      <alignment/>
    </xf>
    <xf numFmtId="0" fontId="5" fillId="0" borderId="0" xfId="0" applyFont="1" applyBorder="1" applyAlignment="1">
      <alignment/>
    </xf>
    <xf numFmtId="3" fontId="5" fillId="0" borderId="0" xfId="0" applyNumberFormat="1" applyFont="1" applyFill="1" applyBorder="1" applyAlignment="1">
      <alignment horizontal="right"/>
    </xf>
    <xf numFmtId="3" fontId="8" fillId="0" borderId="0" xfId="0" applyNumberFormat="1" applyFont="1" applyBorder="1" applyAlignment="1">
      <alignment horizontal="right"/>
    </xf>
    <xf numFmtId="3" fontId="8" fillId="0" borderId="0" xfId="0" applyNumberFormat="1" applyFont="1" applyBorder="1" applyAlignment="1">
      <alignment/>
    </xf>
    <xf numFmtId="0" fontId="8" fillId="0" borderId="13" xfId="0" applyFont="1" applyBorder="1" applyAlignment="1">
      <alignment/>
    </xf>
    <xf numFmtId="0" fontId="5" fillId="0" borderId="13" xfId="0" applyFont="1" applyBorder="1" applyAlignment="1">
      <alignment/>
    </xf>
    <xf numFmtId="3" fontId="8" fillId="0" borderId="13" xfId="0" applyNumberFormat="1" applyFont="1" applyBorder="1" applyAlignment="1">
      <alignment horizontal="center"/>
    </xf>
    <xf numFmtId="0" fontId="8" fillId="0" borderId="13" xfId="0" applyFont="1" applyBorder="1" applyAlignment="1">
      <alignment horizontal="center"/>
    </xf>
    <xf numFmtId="3" fontId="8" fillId="22" borderId="14" xfId="0" applyNumberFormat="1" applyFont="1" applyFill="1" applyBorder="1" applyAlignment="1">
      <alignment horizontal="center"/>
    </xf>
    <xf numFmtId="172" fontId="8" fillId="22" borderId="14" xfId="43" applyNumberFormat="1" applyFont="1" applyFill="1" applyBorder="1" applyAlignment="1">
      <alignment horizontal="center"/>
    </xf>
    <xf numFmtId="0" fontId="5" fillId="0" borderId="0" xfId="0" applyFont="1" applyFill="1" applyBorder="1" applyAlignment="1">
      <alignment horizontal="left" wrapText="1"/>
    </xf>
    <xf numFmtId="3" fontId="5" fillId="0" borderId="0" xfId="0" applyNumberFormat="1" applyFont="1" applyFill="1" applyBorder="1" applyAlignment="1">
      <alignment/>
    </xf>
    <xf numFmtId="0" fontId="8" fillId="22" borderId="10" xfId="0" applyFont="1" applyFill="1" applyBorder="1" applyAlignment="1">
      <alignment horizontal="left" wrapText="1"/>
    </xf>
    <xf numFmtId="0" fontId="8" fillId="0" borderId="13" xfId="0" applyFont="1" applyFill="1" applyBorder="1" applyAlignment="1">
      <alignment horizontal="center"/>
    </xf>
    <xf numFmtId="3" fontId="8" fillId="0" borderId="13" xfId="0" applyNumberFormat="1" applyFont="1" applyFill="1" applyBorder="1" applyAlignment="1">
      <alignment horizontal="center"/>
    </xf>
    <xf numFmtId="0" fontId="5" fillId="7" borderId="15" xfId="0" applyFont="1" applyFill="1" applyBorder="1" applyAlignment="1">
      <alignment horizontal="left"/>
    </xf>
    <xf numFmtId="0" fontId="13" fillId="27" borderId="0" xfId="0" applyFont="1" applyFill="1" applyAlignment="1">
      <alignment/>
    </xf>
    <xf numFmtId="38" fontId="14" fillId="27" borderId="0" xfId="0" applyNumberFormat="1" applyFont="1" applyFill="1" applyAlignment="1">
      <alignment/>
    </xf>
    <xf numFmtId="0" fontId="5" fillId="22" borderId="10" xfId="0" applyFont="1" applyFill="1" applyBorder="1" applyAlignment="1">
      <alignment/>
    </xf>
    <xf numFmtId="0" fontId="0" fillId="28" borderId="0" xfId="0" applyFill="1" applyAlignment="1">
      <alignment/>
    </xf>
    <xf numFmtId="0" fontId="8" fillId="0" borderId="0" xfId="0" applyFont="1" applyFill="1" applyBorder="1" applyAlignment="1">
      <alignment horizontal="left"/>
    </xf>
    <xf numFmtId="0" fontId="4" fillId="0" borderId="0" xfId="0" applyFont="1" applyFill="1" applyBorder="1" applyAlignment="1">
      <alignment horizontal="center"/>
    </xf>
    <xf numFmtId="0" fontId="0" fillId="0" borderId="0" xfId="0" applyBorder="1" applyAlignment="1">
      <alignment horizontal="left"/>
    </xf>
    <xf numFmtId="0" fontId="8" fillId="7" borderId="12" xfId="0" applyFont="1" applyFill="1" applyBorder="1" applyAlignment="1">
      <alignment/>
    </xf>
    <xf numFmtId="0" fontId="0" fillId="0" borderId="0" xfId="0" applyBorder="1" applyAlignment="1" applyProtection="1">
      <alignment/>
      <protection hidden="1"/>
    </xf>
    <xf numFmtId="0" fontId="5" fillId="0" borderId="0" xfId="0" applyFont="1" applyBorder="1" applyAlignment="1" applyProtection="1">
      <alignment horizontal="center"/>
      <protection hidden="1"/>
    </xf>
    <xf numFmtId="9" fontId="5" fillId="22" borderId="14" xfId="62" applyFont="1" applyFill="1" applyBorder="1" applyAlignment="1">
      <alignment horizontal="center"/>
    </xf>
    <xf numFmtId="3" fontId="5" fillId="22" borderId="14" xfId="0" applyNumberFormat="1" applyFont="1" applyFill="1" applyBorder="1" applyAlignment="1">
      <alignment horizontal="center"/>
    </xf>
    <xf numFmtId="0" fontId="0" fillId="29" borderId="0" xfId="0" applyFill="1" applyAlignment="1">
      <alignment/>
    </xf>
    <xf numFmtId="0" fontId="14" fillId="29" borderId="0" xfId="0" applyFont="1" applyFill="1" applyAlignment="1">
      <alignment/>
    </xf>
    <xf numFmtId="0" fontId="15" fillId="29" borderId="0" xfId="0" applyFont="1" applyFill="1" applyAlignment="1">
      <alignment/>
    </xf>
    <xf numFmtId="0" fontId="7" fillId="30" borderId="16" xfId="0" applyFont="1" applyFill="1" applyBorder="1" applyAlignment="1">
      <alignment/>
    </xf>
    <xf numFmtId="0" fontId="0" fillId="28" borderId="17" xfId="0" applyFill="1" applyBorder="1" applyAlignment="1">
      <alignment/>
    </xf>
    <xf numFmtId="0" fontId="0" fillId="28" borderId="18" xfId="0" applyFill="1" applyBorder="1" applyAlignment="1">
      <alignment/>
    </xf>
    <xf numFmtId="0" fontId="16" fillId="28" borderId="12" xfId="0" applyFont="1" applyFill="1" applyBorder="1" applyAlignment="1">
      <alignment/>
    </xf>
    <xf numFmtId="0" fontId="18" fillId="8" borderId="14" xfId="0" applyFont="1" applyFill="1" applyBorder="1" applyAlignment="1">
      <alignment/>
    </xf>
    <xf numFmtId="0" fontId="18" fillId="20" borderId="14" xfId="0" applyFont="1" applyFill="1" applyBorder="1" applyAlignment="1">
      <alignment horizontal="center"/>
    </xf>
    <xf numFmtId="0" fontId="7" fillId="28" borderId="0" xfId="0" applyFont="1" applyFill="1" applyBorder="1" applyAlignment="1">
      <alignment/>
    </xf>
    <xf numFmtId="0" fontId="0" fillId="28" borderId="0" xfId="0" applyFill="1" applyBorder="1" applyAlignment="1">
      <alignment/>
    </xf>
    <xf numFmtId="0" fontId="0" fillId="28" borderId="19" xfId="0" applyFill="1" applyBorder="1" applyAlignment="1">
      <alignment/>
    </xf>
    <xf numFmtId="0" fontId="0" fillId="28" borderId="12" xfId="0" applyFill="1" applyBorder="1" applyAlignment="1">
      <alignment/>
    </xf>
    <xf numFmtId="0" fontId="4" fillId="0" borderId="14" xfId="0" applyFont="1" applyFill="1" applyBorder="1" applyAlignment="1">
      <alignment/>
    </xf>
    <xf numFmtId="1" fontId="18" fillId="4" borderId="14" xfId="0" applyNumberFormat="1" applyFont="1" applyFill="1" applyBorder="1" applyAlignment="1">
      <alignment horizontal="center" vertical="center" wrapText="1"/>
    </xf>
    <xf numFmtId="0" fontId="18" fillId="20" borderId="14" xfId="0" applyFont="1" applyFill="1" applyBorder="1" applyAlignment="1">
      <alignment horizontal="center" vertical="center" wrapText="1"/>
    </xf>
    <xf numFmtId="0" fontId="4" fillId="28" borderId="0" xfId="0" applyFont="1" applyFill="1" applyBorder="1" applyAlignment="1">
      <alignment/>
    </xf>
    <xf numFmtId="0" fontId="0" fillId="28" borderId="15" xfId="0" applyFill="1" applyBorder="1" applyAlignment="1">
      <alignment/>
    </xf>
    <xf numFmtId="0" fontId="0" fillId="28" borderId="20" xfId="0" applyFill="1" applyBorder="1" applyAlignment="1">
      <alignment/>
    </xf>
    <xf numFmtId="0" fontId="4" fillId="28" borderId="20" xfId="0" applyFont="1" applyFill="1" applyBorder="1" applyAlignment="1">
      <alignment/>
    </xf>
    <xf numFmtId="0" fontId="0" fillId="28" borderId="21" xfId="0" applyFill="1" applyBorder="1" applyAlignment="1">
      <alignment/>
    </xf>
    <xf numFmtId="0" fontId="18" fillId="8" borderId="22" xfId="0" applyFont="1" applyFill="1" applyBorder="1" applyAlignment="1">
      <alignment/>
    </xf>
    <xf numFmtId="0" fontId="18" fillId="20" borderId="22" xfId="0" applyFont="1" applyFill="1" applyBorder="1" applyAlignment="1">
      <alignment horizontal="center"/>
    </xf>
    <xf numFmtId="0" fontId="4" fillId="0" borderId="23" xfId="0" applyFont="1" applyFill="1" applyBorder="1" applyAlignment="1">
      <alignment/>
    </xf>
    <xf numFmtId="0" fontId="4" fillId="0" borderId="24" xfId="0" applyFont="1" applyFill="1" applyBorder="1" applyAlignment="1">
      <alignment/>
    </xf>
    <xf numFmtId="3" fontId="18" fillId="4" borderId="14" xfId="0" applyNumberFormat="1" applyFont="1" applyFill="1" applyBorder="1" applyAlignment="1">
      <alignment horizontal="center" vertical="center" wrapText="1"/>
    </xf>
    <xf numFmtId="176" fontId="18" fillId="4" borderId="14" xfId="0" applyNumberFormat="1" applyFont="1" applyFill="1" applyBorder="1" applyAlignment="1">
      <alignment horizontal="center" vertical="center" wrapText="1"/>
    </xf>
    <xf numFmtId="0" fontId="20" fillId="8" borderId="14" xfId="0" applyFont="1" applyFill="1" applyBorder="1" applyAlignment="1">
      <alignment vertical="center" wrapText="1"/>
    </xf>
    <xf numFmtId="3" fontId="5" fillId="0" borderId="0" xfId="0" applyNumberFormat="1" applyFont="1" applyFill="1" applyAlignment="1" applyProtection="1">
      <alignment horizontal="center"/>
      <protection/>
    </xf>
    <xf numFmtId="3" fontId="0" fillId="0" borderId="0" xfId="0" applyNumberFormat="1" applyAlignment="1">
      <alignment/>
    </xf>
    <xf numFmtId="3" fontId="0" fillId="0" borderId="0" xfId="0" applyNumberFormat="1" applyFill="1" applyAlignment="1">
      <alignment/>
    </xf>
    <xf numFmtId="3" fontId="5" fillId="0" borderId="0" xfId="43" applyNumberFormat="1" applyFont="1" applyFill="1" applyBorder="1" applyAlignment="1">
      <alignment horizontal="right"/>
    </xf>
    <xf numFmtId="3" fontId="8" fillId="22" borderId="10" xfId="43" applyNumberFormat="1" applyFont="1" applyFill="1" applyBorder="1" applyAlignment="1">
      <alignment horizontal="right"/>
    </xf>
    <xf numFmtId="3" fontId="5" fillId="22" borderId="10" xfId="43" applyNumberFormat="1" applyFont="1" applyFill="1" applyBorder="1" applyAlignment="1">
      <alignment horizontal="right"/>
    </xf>
    <xf numFmtId="176" fontId="5" fillId="0" borderId="0" xfId="43" applyNumberFormat="1" applyFont="1" applyFill="1" applyBorder="1" applyAlignment="1">
      <alignment horizontal="right"/>
    </xf>
    <xf numFmtId="1" fontId="8" fillId="0" borderId="0" xfId="0" applyNumberFormat="1" applyFont="1" applyAlignment="1">
      <alignment/>
    </xf>
    <xf numFmtId="176" fontId="5" fillId="26" borderId="14" xfId="43" applyNumberFormat="1" applyFont="1" applyFill="1" applyBorder="1" applyAlignment="1">
      <alignment horizontal="center"/>
    </xf>
    <xf numFmtId="3" fontId="5" fillId="0" borderId="25" xfId="0" applyNumberFormat="1" applyFont="1" applyFill="1" applyBorder="1" applyAlignment="1" applyProtection="1">
      <alignment horizontal="center"/>
      <protection/>
    </xf>
    <xf numFmtId="3" fontId="5" fillId="0" borderId="0" xfId="0" applyNumberFormat="1" applyFont="1" applyFill="1" applyBorder="1" applyAlignment="1" applyProtection="1">
      <alignment horizontal="right"/>
      <protection/>
    </xf>
    <xf numFmtId="0" fontId="8" fillId="28" borderId="26" xfId="0" applyFont="1" applyFill="1" applyBorder="1" applyAlignment="1">
      <alignment horizontal="center"/>
    </xf>
    <xf numFmtId="0" fontId="8" fillId="28" borderId="10" xfId="0" applyFont="1" applyFill="1" applyBorder="1" applyAlignment="1">
      <alignment horizontal="center"/>
    </xf>
    <xf numFmtId="0" fontId="39" fillId="28" borderId="14" xfId="0" applyFont="1" applyFill="1" applyBorder="1" applyAlignment="1">
      <alignment horizontal="center"/>
    </xf>
    <xf numFmtId="0" fontId="5" fillId="28" borderId="0" xfId="0" applyFont="1" applyFill="1" applyBorder="1" applyAlignment="1">
      <alignment/>
    </xf>
    <xf numFmtId="0" fontId="40" fillId="31" borderId="26" xfId="0" applyFont="1" applyFill="1" applyBorder="1" applyAlignment="1">
      <alignment horizontal="center"/>
    </xf>
    <xf numFmtId="0" fontId="5" fillId="28" borderId="0" xfId="0" applyFont="1" applyFill="1" applyAlignment="1">
      <alignment/>
    </xf>
    <xf numFmtId="0" fontId="5" fillId="28" borderId="14" xfId="0" applyFont="1" applyFill="1" applyBorder="1" applyAlignment="1">
      <alignment/>
    </xf>
    <xf numFmtId="0" fontId="5" fillId="28" borderId="14" xfId="0" applyFont="1" applyFill="1" applyBorder="1" applyAlignment="1">
      <alignment horizontal="left"/>
    </xf>
    <xf numFmtId="0" fontId="5" fillId="28" borderId="27" xfId="0" applyFont="1" applyFill="1" applyBorder="1" applyAlignment="1">
      <alignment/>
    </xf>
    <xf numFmtId="38" fontId="42" fillId="4" borderId="14" xfId="0" applyNumberFormat="1" applyFont="1" applyFill="1" applyBorder="1" applyAlignment="1" applyProtection="1">
      <alignment horizontal="center"/>
      <protection locked="0"/>
    </xf>
    <xf numFmtId="3" fontId="42" fillId="28" borderId="0" xfId="0" applyNumberFormat="1" applyFont="1" applyFill="1" applyBorder="1" applyAlignment="1" applyProtection="1">
      <alignment horizontal="center"/>
      <protection locked="0"/>
    </xf>
    <xf numFmtId="3" fontId="5" fillId="28" borderId="0" xfId="0" applyNumberFormat="1" applyFont="1" applyFill="1" applyBorder="1" applyAlignment="1" applyProtection="1">
      <alignment horizontal="center"/>
      <protection locked="0"/>
    </xf>
    <xf numFmtId="9" fontId="5" fillId="28" borderId="0" xfId="62" applyFont="1" applyFill="1" applyAlignment="1">
      <alignment/>
    </xf>
    <xf numFmtId="0" fontId="8" fillId="28" borderId="26" xfId="0" applyFont="1" applyFill="1" applyBorder="1" applyAlignment="1" applyProtection="1">
      <alignment horizontal="center"/>
      <protection/>
    </xf>
    <xf numFmtId="0" fontId="8" fillId="28" borderId="10" xfId="0" applyFont="1" applyFill="1" applyBorder="1" applyAlignment="1" applyProtection="1">
      <alignment horizontal="center"/>
      <protection/>
    </xf>
    <xf numFmtId="0" fontId="8" fillId="28" borderId="25" xfId="0" applyFont="1" applyFill="1" applyBorder="1" applyAlignment="1" applyProtection="1">
      <alignment horizontal="center"/>
      <protection/>
    </xf>
    <xf numFmtId="0" fontId="8" fillId="28" borderId="0" xfId="0" applyFont="1" applyFill="1" applyBorder="1" applyAlignment="1" applyProtection="1">
      <alignment horizontal="center"/>
      <protection/>
    </xf>
    <xf numFmtId="0" fontId="4" fillId="28" borderId="0" xfId="0" applyFont="1" applyFill="1" applyAlignment="1">
      <alignment/>
    </xf>
    <xf numFmtId="178" fontId="5" fillId="28" borderId="25" xfId="0" applyNumberFormat="1" applyFont="1" applyFill="1" applyBorder="1" applyAlignment="1" applyProtection="1">
      <alignment horizontal="left"/>
      <protection/>
    </xf>
    <xf numFmtId="178" fontId="5" fillId="28" borderId="14" xfId="0" applyNumberFormat="1" applyFont="1" applyFill="1" applyBorder="1" applyAlignment="1" applyProtection="1">
      <alignment horizontal="left"/>
      <protection/>
    </xf>
    <xf numFmtId="4" fontId="42" fillId="4" borderId="14" xfId="62" applyNumberFormat="1" applyFont="1" applyFill="1" applyBorder="1" applyAlignment="1" applyProtection="1">
      <alignment horizontal="center"/>
      <protection locked="0"/>
    </xf>
    <xf numFmtId="9" fontId="5" fillId="28" borderId="0" xfId="0" applyNumberFormat="1" applyFont="1" applyFill="1" applyBorder="1" applyAlignment="1">
      <alignment/>
    </xf>
    <xf numFmtId="38" fontId="5" fillId="28" borderId="25" xfId="0" applyNumberFormat="1" applyFont="1" applyFill="1" applyBorder="1" applyAlignment="1" applyProtection="1">
      <alignment horizontal="left"/>
      <protection/>
    </xf>
    <xf numFmtId="38" fontId="5" fillId="28" borderId="14" xfId="0" applyNumberFormat="1" applyFont="1" applyFill="1" applyBorder="1" applyAlignment="1" applyProtection="1">
      <alignment horizontal="left"/>
      <protection/>
    </xf>
    <xf numFmtId="0" fontId="5" fillId="28" borderId="25" xfId="0" applyFont="1" applyFill="1" applyBorder="1" applyAlignment="1" applyProtection="1">
      <alignment horizontal="left"/>
      <protection/>
    </xf>
    <xf numFmtId="0" fontId="5" fillId="28" borderId="10" xfId="0" applyFont="1" applyFill="1" applyBorder="1" applyAlignment="1">
      <alignment/>
    </xf>
    <xf numFmtId="0" fontId="43" fillId="28" borderId="27" xfId="56" applyFont="1" applyFill="1" applyBorder="1" applyAlignment="1" applyProtection="1">
      <alignment/>
      <protection/>
    </xf>
    <xf numFmtId="0" fontId="5" fillId="28" borderId="25" xfId="0" applyFont="1" applyFill="1" applyBorder="1" applyAlignment="1">
      <alignment horizontal="left"/>
    </xf>
    <xf numFmtId="0" fontId="5" fillId="28" borderId="0" xfId="0" applyFont="1" applyFill="1" applyBorder="1" applyAlignment="1">
      <alignment horizontal="left"/>
    </xf>
    <xf numFmtId="0" fontId="5" fillId="28" borderId="28" xfId="0" applyFont="1" applyFill="1" applyBorder="1" applyAlignment="1">
      <alignment/>
    </xf>
    <xf numFmtId="0" fontId="8" fillId="28" borderId="25" xfId="0" applyFont="1" applyFill="1" applyBorder="1" applyAlignment="1">
      <alignment horizontal="left"/>
    </xf>
    <xf numFmtId="0" fontId="5" fillId="28" borderId="14" xfId="0" applyFont="1" applyFill="1" applyBorder="1" applyAlignment="1" applyProtection="1">
      <alignment horizontal="left"/>
      <protection/>
    </xf>
    <xf numFmtId="170" fontId="44" fillId="28" borderId="0" xfId="0" applyNumberFormat="1" applyFont="1" applyFill="1" applyBorder="1" applyAlignment="1">
      <alignment horizontal="center" vertical="center"/>
    </xf>
    <xf numFmtId="178" fontId="5" fillId="28" borderId="0" xfId="0" applyNumberFormat="1" applyFont="1" applyFill="1" applyBorder="1" applyAlignment="1" applyProtection="1">
      <alignment horizontal="left"/>
      <protection/>
    </xf>
    <xf numFmtId="0" fontId="8" fillId="28" borderId="25" xfId="0" applyFont="1" applyFill="1" applyBorder="1" applyAlignment="1" applyProtection="1">
      <alignment horizontal="left"/>
      <protection/>
    </xf>
    <xf numFmtId="0" fontId="5" fillId="28" borderId="0" xfId="0" applyFont="1" applyFill="1" applyBorder="1" applyAlignment="1" applyProtection="1">
      <alignment horizontal="left"/>
      <protection/>
    </xf>
    <xf numFmtId="2" fontId="5" fillId="28" borderId="0" xfId="0" applyNumberFormat="1" applyFont="1" applyFill="1" applyBorder="1" applyAlignment="1">
      <alignment/>
    </xf>
    <xf numFmtId="2" fontId="45" fillId="28" borderId="0" xfId="0" applyNumberFormat="1" applyFont="1" applyFill="1" applyBorder="1" applyAlignment="1">
      <alignment/>
    </xf>
    <xf numFmtId="2" fontId="0" fillId="28" borderId="0" xfId="0" applyNumberFormat="1" applyFill="1" applyAlignment="1">
      <alignment/>
    </xf>
    <xf numFmtId="0" fontId="5" fillId="28" borderId="29" xfId="0" applyFont="1" applyFill="1" applyBorder="1" applyAlignment="1" applyProtection="1">
      <alignment horizontal="left"/>
      <protection/>
    </xf>
    <xf numFmtId="0" fontId="46" fillId="28" borderId="0" xfId="0" applyFont="1" applyFill="1" applyAlignment="1">
      <alignment/>
    </xf>
    <xf numFmtId="0" fontId="8" fillId="28" borderId="27" xfId="0" applyFont="1" applyFill="1" applyBorder="1" applyAlignment="1">
      <alignment/>
    </xf>
    <xf numFmtId="0" fontId="8" fillId="28" borderId="29" xfId="0" applyFont="1" applyFill="1" applyBorder="1" applyAlignment="1">
      <alignment/>
    </xf>
    <xf numFmtId="0" fontId="8" fillId="28" borderId="14" xfId="0" applyFont="1" applyFill="1" applyBorder="1" applyAlignment="1">
      <alignment/>
    </xf>
    <xf numFmtId="10" fontId="42" fillId="7" borderId="14" xfId="62" applyNumberFormat="1" applyFont="1" applyFill="1" applyBorder="1" applyAlignment="1" applyProtection="1">
      <alignment horizontal="center"/>
      <protection locked="0"/>
    </xf>
    <xf numFmtId="0" fontId="5" fillId="28" borderId="0" xfId="0" applyFont="1" applyFill="1" applyAlignment="1">
      <alignment horizontal="center"/>
    </xf>
    <xf numFmtId="0" fontId="0" fillId="3" borderId="30" xfId="0" applyFill="1" applyBorder="1" applyAlignment="1">
      <alignment/>
    </xf>
    <xf numFmtId="0" fontId="0" fillId="3" borderId="25" xfId="0" applyFill="1" applyBorder="1" applyAlignment="1">
      <alignment/>
    </xf>
    <xf numFmtId="169" fontId="22" fillId="28" borderId="0" xfId="45" applyFont="1" applyFill="1" applyAlignment="1">
      <alignment/>
    </xf>
    <xf numFmtId="43" fontId="0" fillId="28" borderId="0" xfId="0" applyNumberFormat="1" applyFill="1" applyAlignment="1">
      <alignment/>
    </xf>
    <xf numFmtId="0" fontId="0" fillId="3" borderId="29" xfId="0" applyFill="1" applyBorder="1" applyAlignment="1">
      <alignment/>
    </xf>
    <xf numFmtId="3" fontId="4" fillId="3" borderId="31" xfId="0" applyNumberFormat="1" applyFont="1" applyFill="1" applyBorder="1" applyAlignment="1">
      <alignment/>
    </xf>
    <xf numFmtId="3" fontId="0" fillId="3" borderId="31" xfId="0" applyNumberFormat="1" applyFill="1" applyBorder="1" applyAlignment="1">
      <alignment/>
    </xf>
    <xf numFmtId="3" fontId="47" fillId="3" borderId="32" xfId="0" applyNumberFormat="1" applyFont="1" applyFill="1" applyBorder="1" applyAlignment="1">
      <alignment/>
    </xf>
    <xf numFmtId="2" fontId="5" fillId="28" borderId="0" xfId="0" applyNumberFormat="1" applyFont="1" applyFill="1" applyAlignment="1">
      <alignment horizontal="right"/>
    </xf>
    <xf numFmtId="0" fontId="4" fillId="0" borderId="0" xfId="0" applyFont="1" applyFill="1" applyBorder="1" applyAlignment="1">
      <alignment/>
    </xf>
    <xf numFmtId="0" fontId="10" fillId="0" borderId="0" xfId="0" applyFont="1" applyFill="1" applyBorder="1" applyAlignment="1">
      <alignment horizontal="center"/>
    </xf>
    <xf numFmtId="0" fontId="5" fillId="0" borderId="0" xfId="0" applyFont="1" applyFill="1" applyBorder="1" applyAlignment="1">
      <alignment horizontal="center"/>
    </xf>
    <xf numFmtId="4" fontId="8" fillId="0" borderId="0" xfId="0" applyNumberFormat="1" applyFont="1" applyFill="1" applyBorder="1" applyAlignment="1">
      <alignment horizontal="center"/>
    </xf>
    <xf numFmtId="0" fontId="5" fillId="7" borderId="11" xfId="0" applyFont="1" applyFill="1" applyBorder="1" applyAlignment="1" applyProtection="1">
      <alignment/>
      <protection/>
    </xf>
    <xf numFmtId="9" fontId="42" fillId="4" borderId="14" xfId="62" applyFont="1" applyFill="1" applyBorder="1" applyAlignment="1" applyProtection="1">
      <alignment horizontal="center"/>
      <protection locked="0"/>
    </xf>
    <xf numFmtId="0" fontId="41" fillId="31" borderId="26" xfId="0" applyFont="1" applyFill="1" applyBorder="1" applyAlignment="1">
      <alignment horizontal="center"/>
    </xf>
    <xf numFmtId="0" fontId="41" fillId="31" borderId="27" xfId="0" applyFont="1" applyFill="1" applyBorder="1" applyAlignment="1">
      <alignment horizontal="center"/>
    </xf>
    <xf numFmtId="0" fontId="49" fillId="0" borderId="0" xfId="0" applyFont="1" applyAlignment="1">
      <alignment/>
    </xf>
    <xf numFmtId="38" fontId="49" fillId="0" borderId="0" xfId="0" applyNumberFormat="1" applyFont="1" applyAlignment="1">
      <alignment/>
    </xf>
    <xf numFmtId="172" fontId="49" fillId="0" borderId="0" xfId="43" applyNumberFormat="1" applyFont="1" applyAlignment="1">
      <alignment/>
    </xf>
    <xf numFmtId="0" fontId="50" fillId="0" borderId="0" xfId="0" applyFont="1" applyAlignment="1">
      <alignment/>
    </xf>
    <xf numFmtId="38" fontId="50" fillId="0" borderId="0" xfId="0" applyNumberFormat="1" applyFont="1" applyAlignment="1">
      <alignment/>
    </xf>
    <xf numFmtId="172" fontId="50" fillId="0" borderId="0" xfId="43" applyNumberFormat="1" applyFont="1" applyAlignment="1">
      <alignment/>
    </xf>
    <xf numFmtId="0" fontId="49" fillId="28" borderId="0" xfId="0" applyFont="1" applyFill="1" applyBorder="1" applyAlignment="1">
      <alignment/>
    </xf>
    <xf numFmtId="0" fontId="49" fillId="28" borderId="0" xfId="0" applyFont="1" applyFill="1" applyAlignment="1">
      <alignment/>
    </xf>
    <xf numFmtId="0" fontId="50" fillId="28" borderId="0" xfId="0" applyFont="1" applyFill="1" applyAlignment="1">
      <alignment/>
    </xf>
    <xf numFmtId="170" fontId="52" fillId="28" borderId="0" xfId="0" applyNumberFormat="1" applyFont="1" applyFill="1" applyBorder="1" applyAlignment="1">
      <alignment horizontal="center" vertical="center"/>
    </xf>
    <xf numFmtId="0" fontId="53" fillId="28" borderId="0" xfId="0" applyFont="1" applyFill="1" applyBorder="1" applyAlignment="1">
      <alignment/>
    </xf>
    <xf numFmtId="0" fontId="51" fillId="28" borderId="0" xfId="0" applyFont="1" applyFill="1" applyAlignment="1">
      <alignment/>
    </xf>
    <xf numFmtId="172" fontId="51" fillId="28" borderId="0" xfId="43" applyNumberFormat="1" applyFont="1" applyFill="1" applyAlignment="1">
      <alignment/>
    </xf>
    <xf numFmtId="0" fontId="51" fillId="28" borderId="0" xfId="0" applyFont="1" applyFill="1" applyAlignment="1">
      <alignment horizontal="left"/>
    </xf>
    <xf numFmtId="0" fontId="51" fillId="28" borderId="0" xfId="0" applyFont="1" applyFill="1" applyBorder="1" applyAlignment="1">
      <alignment/>
    </xf>
    <xf numFmtId="10" fontId="50" fillId="0" borderId="0" xfId="0" applyNumberFormat="1" applyFont="1" applyAlignment="1">
      <alignment/>
    </xf>
    <xf numFmtId="0" fontId="54" fillId="28" borderId="0" xfId="0" applyFont="1" applyFill="1" applyAlignment="1">
      <alignment/>
    </xf>
    <xf numFmtId="0" fontId="49" fillId="0" borderId="33" xfId="0" applyFont="1" applyBorder="1" applyAlignment="1">
      <alignment/>
    </xf>
    <xf numFmtId="3" fontId="49" fillId="0" borderId="33" xfId="0" applyNumberFormat="1" applyFont="1" applyBorder="1" applyAlignment="1">
      <alignment/>
    </xf>
    <xf numFmtId="3" fontId="49" fillId="0" borderId="34" xfId="0" applyNumberFormat="1" applyFont="1" applyBorder="1" applyAlignment="1">
      <alignment/>
    </xf>
    <xf numFmtId="0" fontId="49" fillId="0" borderId="25" xfId="0" applyFont="1" applyBorder="1" applyAlignment="1">
      <alignment/>
    </xf>
    <xf numFmtId="0" fontId="49" fillId="0" borderId="0" xfId="0" applyFont="1" applyBorder="1" applyAlignment="1">
      <alignment/>
    </xf>
    <xf numFmtId="0" fontId="49" fillId="0" borderId="28" xfId="0" applyFont="1" applyBorder="1" applyAlignment="1">
      <alignment/>
    </xf>
    <xf numFmtId="4" fontId="49" fillId="0" borderId="0" xfId="0" applyNumberFormat="1" applyFont="1" applyBorder="1" applyAlignment="1">
      <alignment/>
    </xf>
    <xf numFmtId="4" fontId="49" fillId="0" borderId="28" xfId="0" applyNumberFormat="1" applyFont="1" applyBorder="1" applyAlignment="1">
      <alignment/>
    </xf>
    <xf numFmtId="0" fontId="50" fillId="0" borderId="31" xfId="0" applyFont="1" applyBorder="1" applyAlignment="1">
      <alignment/>
    </xf>
    <xf numFmtId="172" fontId="50" fillId="0" borderId="31" xfId="43" applyNumberFormat="1" applyFont="1" applyBorder="1" applyAlignment="1">
      <alignment/>
    </xf>
    <xf numFmtId="172" fontId="50" fillId="0" borderId="32" xfId="43" applyNumberFormat="1" applyFont="1" applyBorder="1" applyAlignment="1">
      <alignment/>
    </xf>
    <xf numFmtId="38" fontId="49" fillId="0" borderId="33" xfId="0" applyNumberFormat="1" applyFont="1" applyBorder="1" applyAlignment="1">
      <alignment/>
    </xf>
    <xf numFmtId="172" fontId="49" fillId="0" borderId="33" xfId="43" applyNumberFormat="1" applyFont="1" applyBorder="1" applyAlignment="1">
      <alignment/>
    </xf>
    <xf numFmtId="172" fontId="49" fillId="0" borderId="34" xfId="43" applyNumberFormat="1" applyFont="1" applyBorder="1" applyAlignment="1">
      <alignment/>
    </xf>
    <xf numFmtId="172" fontId="49" fillId="0" borderId="0" xfId="43" applyNumberFormat="1" applyFont="1" applyBorder="1" applyAlignment="1">
      <alignment/>
    </xf>
    <xf numFmtId="172" fontId="49" fillId="0" borderId="28" xfId="43" applyNumberFormat="1" applyFont="1" applyBorder="1" applyAlignment="1">
      <alignment/>
    </xf>
    <xf numFmtId="38" fontId="49" fillId="0" borderId="0" xfId="0" applyNumberFormat="1" applyFont="1" applyBorder="1" applyAlignment="1">
      <alignment/>
    </xf>
    <xf numFmtId="172" fontId="49" fillId="0" borderId="0" xfId="0" applyNumberFormat="1" applyFont="1" applyBorder="1" applyAlignment="1">
      <alignment/>
    </xf>
    <xf numFmtId="0" fontId="49" fillId="0" borderId="31" xfId="0" applyFont="1" applyBorder="1" applyAlignment="1">
      <alignment/>
    </xf>
    <xf numFmtId="172" fontId="49" fillId="0" borderId="31" xfId="43" applyNumberFormat="1" applyFont="1" applyBorder="1" applyAlignment="1">
      <alignment/>
    </xf>
    <xf numFmtId="171" fontId="5" fillId="28" borderId="0" xfId="62" applyNumberFormat="1" applyFont="1" applyFill="1" applyAlignment="1">
      <alignment/>
    </xf>
    <xf numFmtId="3" fontId="42" fillId="22" borderId="14" xfId="62" applyNumberFormat="1" applyFont="1" applyFill="1" applyBorder="1" applyAlignment="1" applyProtection="1">
      <alignment horizontal="center"/>
      <protection locked="0"/>
    </xf>
    <xf numFmtId="38" fontId="42" fillId="22" borderId="14" xfId="0" applyNumberFormat="1" applyFont="1" applyFill="1" applyBorder="1" applyAlignment="1" applyProtection="1">
      <alignment horizontal="center"/>
      <protection locked="0"/>
    </xf>
    <xf numFmtId="37" fontId="0" fillId="0" borderId="0" xfId="0" applyNumberFormat="1" applyAlignment="1" applyProtection="1">
      <alignment horizontal="right" vertical="center"/>
      <protection/>
    </xf>
    <xf numFmtId="10" fontId="8" fillId="32" borderId="14" xfId="0" applyNumberFormat="1" applyFont="1" applyFill="1" applyBorder="1" applyAlignment="1">
      <alignment/>
    </xf>
    <xf numFmtId="10" fontId="8" fillId="7" borderId="14" xfId="0" applyNumberFormat="1" applyFont="1" applyFill="1" applyBorder="1" applyAlignment="1">
      <alignment/>
    </xf>
    <xf numFmtId="0" fontId="8" fillId="7" borderId="17" xfId="0" applyFont="1" applyFill="1" applyBorder="1" applyAlignment="1">
      <alignment horizontal="center"/>
    </xf>
    <xf numFmtId="0" fontId="5" fillId="7" borderId="17" xfId="0" applyFont="1" applyFill="1" applyBorder="1" applyAlignment="1">
      <alignment horizontal="center"/>
    </xf>
    <xf numFmtId="0" fontId="5" fillId="7" borderId="0" xfId="0" applyFont="1" applyFill="1" applyBorder="1" applyAlignment="1">
      <alignment horizontal="center"/>
    </xf>
    <xf numFmtId="0" fontId="5" fillId="7" borderId="0" xfId="0" applyFont="1" applyFill="1" applyBorder="1" applyAlignment="1" applyProtection="1">
      <alignment horizontal="center"/>
      <protection/>
    </xf>
    <xf numFmtId="0" fontId="5" fillId="7" borderId="17" xfId="0" applyFont="1" applyFill="1" applyBorder="1" applyAlignment="1" applyProtection="1">
      <alignment horizontal="center"/>
      <protection/>
    </xf>
    <xf numFmtId="0" fontId="5" fillId="7" borderId="20" xfId="0" applyFont="1" applyFill="1" applyBorder="1" applyAlignment="1">
      <alignment horizontal="center"/>
    </xf>
    <xf numFmtId="0" fontId="46" fillId="28" borderId="0" xfId="0" applyFont="1" applyFill="1" applyBorder="1" applyAlignment="1">
      <alignment/>
    </xf>
    <xf numFmtId="3" fontId="0" fillId="3" borderId="0" xfId="0" applyNumberFormat="1" applyFont="1" applyFill="1" applyBorder="1" applyAlignment="1">
      <alignment/>
    </xf>
    <xf numFmtId="3" fontId="0" fillId="3" borderId="28" xfId="0" applyNumberFormat="1" applyFont="1" applyFill="1" applyBorder="1" applyAlignment="1">
      <alignment/>
    </xf>
    <xf numFmtId="0" fontId="49" fillId="3" borderId="33" xfId="0" applyFont="1" applyFill="1" applyBorder="1" applyAlignment="1">
      <alignment/>
    </xf>
    <xf numFmtId="0" fontId="49" fillId="3" borderId="34" xfId="0" applyFont="1" applyFill="1" applyBorder="1" applyAlignment="1">
      <alignment/>
    </xf>
    <xf numFmtId="0" fontId="56" fillId="0" borderId="25" xfId="0" applyFont="1" applyBorder="1" applyAlignment="1">
      <alignment/>
    </xf>
    <xf numFmtId="0" fontId="56" fillId="0" borderId="30" xfId="0" applyFont="1" applyBorder="1" applyAlignment="1">
      <alignment/>
    </xf>
    <xf numFmtId="9" fontId="56" fillId="0" borderId="33" xfId="62" applyFont="1" applyBorder="1" applyAlignment="1">
      <alignment/>
    </xf>
    <xf numFmtId="0" fontId="51" fillId="0" borderId="25" xfId="0" applyFont="1" applyBorder="1" applyAlignment="1">
      <alignment/>
    </xf>
    <xf numFmtId="0" fontId="51" fillId="0" borderId="0" xfId="0" applyFont="1" applyBorder="1" applyAlignment="1">
      <alignment/>
    </xf>
    <xf numFmtId="172" fontId="51" fillId="0" borderId="0" xfId="0" applyNumberFormat="1" applyFont="1" applyBorder="1" applyAlignment="1">
      <alignment/>
    </xf>
    <xf numFmtId="3" fontId="0" fillId="4" borderId="0" xfId="0" applyNumberFormat="1" applyFont="1" applyFill="1" applyBorder="1" applyAlignment="1">
      <alignment/>
    </xf>
    <xf numFmtId="40" fontId="42" fillId="22" borderId="14" xfId="0" applyNumberFormat="1" applyFont="1" applyFill="1" applyBorder="1" applyAlignment="1" applyProtection="1">
      <alignment horizontal="center"/>
      <protection locked="0"/>
    </xf>
    <xf numFmtId="2" fontId="5" fillId="4" borderId="0" xfId="0" applyNumberFormat="1" applyFont="1" applyFill="1" applyAlignment="1">
      <alignment horizontal="right"/>
    </xf>
    <xf numFmtId="0" fontId="57" fillId="0" borderId="0" xfId="0" applyFont="1" applyAlignment="1">
      <alignment/>
    </xf>
    <xf numFmtId="0" fontId="58" fillId="0" borderId="0" xfId="0" applyFont="1" applyAlignment="1">
      <alignment/>
    </xf>
    <xf numFmtId="0" fontId="59" fillId="0" borderId="0" xfId="0" applyFont="1" applyAlignment="1">
      <alignment/>
    </xf>
    <xf numFmtId="0" fontId="50" fillId="0" borderId="0" xfId="0" applyFont="1" applyBorder="1" applyAlignment="1">
      <alignment/>
    </xf>
    <xf numFmtId="10" fontId="60" fillId="0" borderId="0" xfId="0" applyNumberFormat="1" applyFont="1" applyAlignment="1">
      <alignment/>
    </xf>
    <xf numFmtId="0" fontId="49" fillId="22" borderId="0" xfId="0" applyFont="1" applyFill="1" applyAlignment="1">
      <alignment/>
    </xf>
    <xf numFmtId="9" fontId="61" fillId="22" borderId="0" xfId="62" applyFont="1" applyFill="1" applyAlignment="1">
      <alignment/>
    </xf>
    <xf numFmtId="0" fontId="49" fillId="7" borderId="30" xfId="0" applyFont="1" applyFill="1" applyBorder="1" applyAlignment="1">
      <alignment/>
    </xf>
    <xf numFmtId="38" fontId="49" fillId="7" borderId="33" xfId="0" applyNumberFormat="1" applyFont="1" applyFill="1" applyBorder="1" applyAlignment="1">
      <alignment/>
    </xf>
    <xf numFmtId="0" fontId="49" fillId="24" borderId="30" xfId="0" applyFont="1" applyFill="1" applyBorder="1" applyAlignment="1">
      <alignment/>
    </xf>
    <xf numFmtId="3" fontId="49" fillId="24" borderId="33" xfId="0" applyNumberFormat="1" applyFont="1" applyFill="1" applyBorder="1" applyAlignment="1">
      <alignment/>
    </xf>
    <xf numFmtId="0" fontId="49" fillId="24" borderId="25" xfId="0" applyFont="1" applyFill="1" applyBorder="1" applyAlignment="1">
      <alignment/>
    </xf>
    <xf numFmtId="4" fontId="49" fillId="24" borderId="0" xfId="0" applyNumberFormat="1" applyFont="1" applyFill="1" applyBorder="1" applyAlignment="1">
      <alignment/>
    </xf>
    <xf numFmtId="0" fontId="49" fillId="7" borderId="25" xfId="0" applyFont="1" applyFill="1" applyBorder="1" applyAlignment="1">
      <alignment/>
    </xf>
    <xf numFmtId="38" fontId="49" fillId="7" borderId="0" xfId="0" applyNumberFormat="1" applyFont="1" applyFill="1" applyBorder="1" applyAlignment="1">
      <alignment/>
    </xf>
    <xf numFmtId="0" fontId="50" fillId="8" borderId="29" xfId="0" applyFont="1" applyFill="1" applyBorder="1" applyAlignment="1">
      <alignment/>
    </xf>
    <xf numFmtId="0" fontId="50" fillId="8" borderId="31" xfId="0" applyFont="1" applyFill="1" applyBorder="1" applyAlignment="1">
      <alignment/>
    </xf>
    <xf numFmtId="0" fontId="50" fillId="15" borderId="29" xfId="0" applyFont="1" applyFill="1" applyBorder="1" applyAlignment="1">
      <alignment/>
    </xf>
    <xf numFmtId="0" fontId="50" fillId="15" borderId="31" xfId="0" applyFont="1" applyFill="1" applyBorder="1" applyAlignment="1">
      <alignment/>
    </xf>
    <xf numFmtId="0" fontId="49" fillId="7" borderId="29" xfId="0" applyFont="1" applyFill="1" applyBorder="1" applyAlignment="1">
      <alignment/>
    </xf>
    <xf numFmtId="9" fontId="49" fillId="7" borderId="31" xfId="62" applyFont="1" applyFill="1" applyBorder="1" applyAlignment="1">
      <alignment/>
    </xf>
    <xf numFmtId="0" fontId="49" fillId="0" borderId="0" xfId="0" applyFont="1" applyAlignment="1">
      <alignment horizontal="center"/>
    </xf>
    <xf numFmtId="0" fontId="57" fillId="0" borderId="0" xfId="0" applyFont="1" applyAlignment="1">
      <alignment horizontal="center"/>
    </xf>
    <xf numFmtId="0" fontId="49" fillId="24" borderId="33" xfId="0" applyFont="1" applyFill="1" applyBorder="1" applyAlignment="1">
      <alignment horizontal="center"/>
    </xf>
    <xf numFmtId="0" fontId="49" fillId="0" borderId="0" xfId="0" applyFont="1" applyBorder="1" applyAlignment="1">
      <alignment horizontal="center"/>
    </xf>
    <xf numFmtId="0" fontId="49" fillId="24" borderId="0" xfId="0" applyFont="1" applyFill="1" applyBorder="1" applyAlignment="1">
      <alignment horizontal="center"/>
    </xf>
    <xf numFmtId="0" fontId="56" fillId="0" borderId="0" xfId="0" applyFont="1" applyBorder="1" applyAlignment="1">
      <alignment horizontal="center"/>
    </xf>
    <xf numFmtId="0" fontId="50" fillId="8" borderId="31" xfId="0" applyFont="1" applyFill="1" applyBorder="1" applyAlignment="1">
      <alignment horizontal="center"/>
    </xf>
    <xf numFmtId="0" fontId="50" fillId="0" borderId="0" xfId="0" applyFont="1" applyBorder="1" applyAlignment="1">
      <alignment horizontal="center"/>
    </xf>
    <xf numFmtId="0" fontId="49" fillId="7" borderId="33" xfId="0" applyFont="1" applyFill="1" applyBorder="1" applyAlignment="1">
      <alignment horizontal="center"/>
    </xf>
    <xf numFmtId="0" fontId="49" fillId="7" borderId="0" xfId="0" applyFont="1" applyFill="1" applyBorder="1" applyAlignment="1">
      <alignment horizontal="center"/>
    </xf>
    <xf numFmtId="0" fontId="50" fillId="15" borderId="31" xfId="0" applyFont="1" applyFill="1" applyBorder="1" applyAlignment="1">
      <alignment horizontal="center"/>
    </xf>
    <xf numFmtId="0" fontId="56" fillId="0" borderId="33" xfId="0" applyFont="1" applyBorder="1" applyAlignment="1">
      <alignment horizontal="center"/>
    </xf>
    <xf numFmtId="0" fontId="51" fillId="0" borderId="0" xfId="0" applyFont="1" applyBorder="1" applyAlignment="1">
      <alignment horizontal="center"/>
    </xf>
    <xf numFmtId="0" fontId="49" fillId="7" borderId="31" xfId="0" applyFont="1" applyFill="1" applyBorder="1" applyAlignment="1">
      <alignment horizontal="center"/>
    </xf>
    <xf numFmtId="0" fontId="50" fillId="0" borderId="0" xfId="0" applyFont="1" applyAlignment="1">
      <alignment horizontal="center"/>
    </xf>
    <xf numFmtId="0" fontId="0" fillId="0" borderId="0" xfId="0" applyAlignment="1">
      <alignment horizontal="center"/>
    </xf>
    <xf numFmtId="0" fontId="49" fillId="22" borderId="0" xfId="0" applyFont="1" applyFill="1" applyAlignment="1">
      <alignment horizontal="center"/>
    </xf>
    <xf numFmtId="0" fontId="58" fillId="0" borderId="0" xfId="0" applyFont="1" applyAlignment="1">
      <alignment horizontal="center"/>
    </xf>
    <xf numFmtId="0" fontId="62" fillId="0" borderId="0" xfId="0" applyFont="1" applyAlignment="1">
      <alignment/>
    </xf>
    <xf numFmtId="0" fontId="63" fillId="8" borderId="0" xfId="0" applyFont="1" applyFill="1" applyAlignment="1">
      <alignment/>
    </xf>
    <xf numFmtId="0" fontId="62" fillId="8" borderId="0" xfId="0" applyFont="1" applyFill="1" applyAlignment="1">
      <alignment/>
    </xf>
    <xf numFmtId="0" fontId="62" fillId="0" borderId="0" xfId="0" applyFont="1" applyFill="1" applyAlignment="1">
      <alignment/>
    </xf>
    <xf numFmtId="0" fontId="62" fillId="0" borderId="0" xfId="0" applyFont="1" applyAlignment="1">
      <alignment vertical="center"/>
    </xf>
    <xf numFmtId="0" fontId="62" fillId="0" borderId="0" xfId="0" applyFont="1" applyFill="1" applyAlignment="1">
      <alignment vertical="center"/>
    </xf>
    <xf numFmtId="0" fontId="62" fillId="0" borderId="0" xfId="0" applyFont="1" applyAlignment="1">
      <alignment/>
    </xf>
    <xf numFmtId="0" fontId="63" fillId="0" borderId="0" xfId="0" applyFont="1" applyAlignment="1">
      <alignment/>
    </xf>
    <xf numFmtId="0" fontId="63" fillId="0" borderId="35" xfId="0" applyFont="1" applyFill="1" applyBorder="1" applyAlignment="1">
      <alignment horizontal="center" vertical="center" wrapText="1"/>
    </xf>
    <xf numFmtId="1" fontId="62" fillId="0" borderId="24" xfId="0" applyNumberFormat="1" applyFont="1" applyFill="1" applyBorder="1" applyAlignment="1">
      <alignment horizontal="center" vertical="top" wrapText="1"/>
    </xf>
    <xf numFmtId="3" fontId="62" fillId="0" borderId="36" xfId="0" applyNumberFormat="1" applyFont="1" applyFill="1" applyBorder="1" applyAlignment="1">
      <alignment horizontal="center" vertical="top" wrapText="1"/>
    </xf>
    <xf numFmtId="0" fontId="63" fillId="0" borderId="0" xfId="0" applyFont="1" applyFill="1" applyBorder="1" applyAlignment="1">
      <alignment horizontal="center" vertical="top" wrapText="1"/>
    </xf>
    <xf numFmtId="0" fontId="62" fillId="0" borderId="24" xfId="0" applyFont="1" applyBorder="1" applyAlignment="1">
      <alignment wrapText="1"/>
    </xf>
    <xf numFmtId="173" fontId="62" fillId="0" borderId="36" xfId="0" applyNumberFormat="1" applyFont="1" applyFill="1" applyBorder="1" applyAlignment="1">
      <alignment horizontal="center" vertical="top" wrapText="1"/>
    </xf>
    <xf numFmtId="9" fontId="62" fillId="0" borderId="0" xfId="0" applyNumberFormat="1" applyFont="1" applyFill="1" applyBorder="1" applyAlignment="1">
      <alignment horizontal="center" vertical="top" wrapText="1"/>
    </xf>
    <xf numFmtId="0" fontId="62" fillId="0" borderId="37" xfId="0" applyFont="1" applyBorder="1" applyAlignment="1">
      <alignment wrapText="1"/>
    </xf>
    <xf numFmtId="3" fontId="63" fillId="0" borderId="38" xfId="0" applyNumberFormat="1" applyFont="1" applyFill="1" applyBorder="1" applyAlignment="1">
      <alignment horizontal="center" vertical="top" wrapText="1"/>
    </xf>
    <xf numFmtId="0" fontId="63" fillId="0" borderId="39" xfId="0" applyFont="1" applyFill="1" applyBorder="1" applyAlignment="1">
      <alignment horizontal="center" vertical="center" wrapText="1"/>
    </xf>
    <xf numFmtId="0" fontId="63" fillId="0" borderId="40" xfId="0" applyFont="1" applyFill="1" applyBorder="1" applyAlignment="1">
      <alignment horizontal="center" vertical="center" wrapText="1"/>
    </xf>
    <xf numFmtId="3" fontId="62" fillId="0" borderId="14" xfId="0" applyNumberFormat="1" applyFont="1" applyFill="1" applyBorder="1" applyAlignment="1">
      <alignment horizontal="center" vertical="top" wrapText="1"/>
    </xf>
    <xf numFmtId="0" fontId="62" fillId="0" borderId="14" xfId="0" applyFont="1" applyBorder="1" applyAlignment="1">
      <alignment horizontal="center" vertical="top" wrapText="1"/>
    </xf>
    <xf numFmtId="0" fontId="63" fillId="0" borderId="37" xfId="0" applyFont="1" applyBorder="1" applyAlignment="1">
      <alignment horizontal="center" vertical="center" wrapText="1"/>
    </xf>
    <xf numFmtId="3" fontId="63" fillId="0" borderId="41" xfId="0" applyNumberFormat="1" applyFont="1" applyBorder="1" applyAlignment="1">
      <alignment horizontal="center" vertical="center" wrapText="1"/>
    </xf>
    <xf numFmtId="0" fontId="63" fillId="0" borderId="41" xfId="0" applyFont="1" applyBorder="1" applyAlignment="1">
      <alignment horizontal="center" vertical="center" wrapText="1"/>
    </xf>
    <xf numFmtId="10" fontId="0" fillId="0" borderId="0" xfId="0" applyNumberFormat="1" applyAlignment="1">
      <alignment/>
    </xf>
    <xf numFmtId="0" fontId="49" fillId="20" borderId="42" xfId="0" applyFont="1" applyFill="1" applyBorder="1" applyAlignment="1">
      <alignment/>
    </xf>
    <xf numFmtId="0" fontId="49" fillId="20" borderId="42" xfId="0" applyFont="1" applyFill="1" applyBorder="1" applyAlignment="1">
      <alignment horizontal="center"/>
    </xf>
    <xf numFmtId="0" fontId="0" fillId="20" borderId="42" xfId="0" applyFill="1" applyBorder="1" applyAlignment="1">
      <alignment/>
    </xf>
    <xf numFmtId="10" fontId="50" fillId="0" borderId="0" xfId="0" applyNumberFormat="1" applyFont="1" applyBorder="1" applyAlignment="1">
      <alignment/>
    </xf>
    <xf numFmtId="10" fontId="8" fillId="22" borderId="14" xfId="0" applyNumberFormat="1" applyFont="1" applyFill="1" applyBorder="1" applyAlignment="1">
      <alignment/>
    </xf>
    <xf numFmtId="9" fontId="42" fillId="11" borderId="14" xfId="62" applyFont="1" applyFill="1" applyBorder="1" applyAlignment="1" applyProtection="1">
      <alignment horizontal="center"/>
      <protection locked="0"/>
    </xf>
    <xf numFmtId="9" fontId="42" fillId="11" borderId="14" xfId="0" applyNumberFormat="1" applyFont="1" applyFill="1" applyBorder="1" applyAlignment="1" applyProtection="1">
      <alignment horizontal="center"/>
      <protection locked="0"/>
    </xf>
    <xf numFmtId="0" fontId="50" fillId="0" borderId="43" xfId="0" applyFont="1" applyBorder="1" applyAlignment="1">
      <alignment/>
    </xf>
    <xf numFmtId="0" fontId="50" fillId="0" borderId="44" xfId="0" applyFont="1" applyBorder="1" applyAlignment="1">
      <alignment horizontal="center"/>
    </xf>
    <xf numFmtId="10" fontId="50" fillId="0" borderId="45" xfId="0" applyNumberFormat="1" applyFont="1" applyBorder="1" applyAlignment="1">
      <alignment/>
    </xf>
    <xf numFmtId="0" fontId="0" fillId="0" borderId="0" xfId="0" applyAlignment="1">
      <alignment horizontal="left"/>
    </xf>
    <xf numFmtId="0" fontId="39" fillId="28" borderId="14" xfId="0" applyFont="1" applyFill="1" applyBorder="1" applyAlignment="1">
      <alignment horizontal="center" vertical="center" wrapText="1"/>
    </xf>
    <xf numFmtId="3" fontId="5" fillId="28" borderId="0" xfId="0" applyNumberFormat="1" applyFont="1" applyFill="1" applyBorder="1" applyAlignment="1" applyProtection="1">
      <alignment horizontal="center" vertical="center" wrapText="1"/>
      <protection locked="0"/>
    </xf>
    <xf numFmtId="3" fontId="5" fillId="28" borderId="14" xfId="0" applyNumberFormat="1" applyFont="1" applyFill="1" applyBorder="1" applyAlignment="1" applyProtection="1">
      <alignment horizontal="center" vertical="center" wrapText="1"/>
      <protection locked="0"/>
    </xf>
    <xf numFmtId="3" fontId="5" fillId="28" borderId="14" xfId="0" applyNumberFormat="1" applyFont="1" applyFill="1" applyBorder="1" applyAlignment="1" applyProtection="1">
      <alignment horizontal="center" wrapText="1"/>
      <protection locked="0"/>
    </xf>
    <xf numFmtId="3" fontId="5" fillId="28" borderId="28" xfId="0" applyNumberFormat="1" applyFont="1" applyFill="1" applyBorder="1" applyAlignment="1" applyProtection="1">
      <alignment horizontal="center" vertical="center" wrapText="1"/>
      <protection locked="0"/>
    </xf>
    <xf numFmtId="0" fontId="39" fillId="28" borderId="46" xfId="0" applyFont="1" applyFill="1" applyBorder="1" applyAlignment="1">
      <alignment horizontal="center" vertical="center" wrapText="1"/>
    </xf>
    <xf numFmtId="10" fontId="5" fillId="28" borderId="14" xfId="62" applyNumberFormat="1" applyFont="1" applyFill="1" applyBorder="1" applyAlignment="1" applyProtection="1">
      <alignment horizontal="center" vertical="center" wrapText="1"/>
      <protection locked="0"/>
    </xf>
    <xf numFmtId="0" fontId="4" fillId="33" borderId="0" xfId="0" applyFont="1" applyFill="1" applyAlignment="1">
      <alignment/>
    </xf>
    <xf numFmtId="0" fontId="5" fillId="33" borderId="0" xfId="0" applyFont="1" applyFill="1" applyAlignment="1">
      <alignment/>
    </xf>
    <xf numFmtId="0" fontId="5" fillId="33" borderId="0" xfId="0" applyFont="1" applyFill="1" applyAlignment="1">
      <alignment horizontal="center"/>
    </xf>
    <xf numFmtId="0" fontId="5" fillId="33" borderId="0" xfId="0" applyFont="1" applyFill="1" applyAlignment="1">
      <alignment horizontal="center" wrapText="1"/>
    </xf>
    <xf numFmtId="0" fontId="4" fillId="0" borderId="14" xfId="0" applyFont="1" applyBorder="1" applyAlignment="1">
      <alignment horizontal="center" vertical="center" wrapText="1"/>
    </xf>
    <xf numFmtId="0" fontId="0" fillId="0" borderId="14" xfId="0" applyBorder="1" applyAlignment="1">
      <alignment/>
    </xf>
    <xf numFmtId="3" fontId="0" fillId="4" borderId="14" xfId="0" applyNumberFormat="1" applyFill="1" applyBorder="1" applyAlignment="1">
      <alignment/>
    </xf>
    <xf numFmtId="3" fontId="0" fillId="4" borderId="14" xfId="0" applyNumberFormat="1" applyFill="1" applyBorder="1" applyAlignment="1">
      <alignment wrapText="1"/>
    </xf>
    <xf numFmtId="0" fontId="0" fillId="0" borderId="14" xfId="0" applyFill="1" applyBorder="1" applyAlignment="1">
      <alignment/>
    </xf>
    <xf numFmtId="3" fontId="0" fillId="22" borderId="14" xfId="0" applyNumberFormat="1" applyFill="1" applyBorder="1" applyAlignment="1">
      <alignment/>
    </xf>
    <xf numFmtId="0" fontId="4" fillId="0" borderId="14" xfId="0" applyFont="1" applyFill="1" applyBorder="1" applyAlignment="1">
      <alignment vertical="center" wrapText="1"/>
    </xf>
    <xf numFmtId="3" fontId="4" fillId="22" borderId="14" xfId="0" applyNumberFormat="1" applyFont="1" applyFill="1" applyBorder="1" applyAlignment="1">
      <alignment vertical="center" wrapText="1"/>
    </xf>
    <xf numFmtId="0" fontId="5" fillId="28" borderId="46" xfId="0" applyFont="1" applyFill="1" applyBorder="1" applyAlignment="1">
      <alignment/>
    </xf>
    <xf numFmtId="0" fontId="8" fillId="28" borderId="14" xfId="0" applyFont="1" applyFill="1" applyBorder="1" applyAlignment="1">
      <alignment horizontal="center"/>
    </xf>
    <xf numFmtId="172" fontId="49" fillId="0" borderId="32" xfId="43" applyNumberFormat="1" applyFont="1" applyBorder="1" applyAlignment="1">
      <alignment/>
    </xf>
    <xf numFmtId="0" fontId="0" fillId="0" borderId="47" xfId="0" applyBorder="1" applyAlignment="1">
      <alignment/>
    </xf>
    <xf numFmtId="0" fontId="5" fillId="28" borderId="25" xfId="0" applyFont="1" applyFill="1" applyBorder="1" applyAlignment="1" applyProtection="1">
      <alignment horizontal="left" wrapText="1"/>
      <protection/>
    </xf>
    <xf numFmtId="0" fontId="5" fillId="7" borderId="12" xfId="0" applyFont="1" applyFill="1" applyBorder="1" applyAlignment="1">
      <alignment/>
    </xf>
    <xf numFmtId="0" fontId="4" fillId="20" borderId="26" xfId="0" applyFont="1" applyFill="1" applyBorder="1" applyAlignment="1">
      <alignment horizontal="left"/>
    </xf>
    <xf numFmtId="0" fontId="4" fillId="20" borderId="27" xfId="0" applyFont="1" applyFill="1" applyBorder="1" applyAlignment="1">
      <alignment horizontal="center"/>
    </xf>
    <xf numFmtId="0" fontId="4" fillId="20" borderId="14" xfId="0" applyFont="1" applyFill="1" applyBorder="1" applyAlignment="1">
      <alignment horizontal="center"/>
    </xf>
    <xf numFmtId="0" fontId="0" fillId="0" borderId="48" xfId="0" applyBorder="1" applyAlignment="1">
      <alignment/>
    </xf>
    <xf numFmtId="0" fontId="0" fillId="0" borderId="49" xfId="0" applyBorder="1" applyAlignment="1">
      <alignment/>
    </xf>
    <xf numFmtId="3" fontId="0" fillId="0" borderId="47" xfId="0" applyNumberFormat="1" applyBorder="1" applyAlignment="1">
      <alignment/>
    </xf>
    <xf numFmtId="0" fontId="8" fillId="7" borderId="50" xfId="0" applyFont="1" applyFill="1" applyBorder="1" applyAlignment="1">
      <alignment horizontal="center"/>
    </xf>
    <xf numFmtId="0" fontId="4" fillId="0" borderId="0" xfId="0" applyFont="1" applyBorder="1" applyAlignment="1">
      <alignment horizontal="center" vertical="center" wrapText="1"/>
    </xf>
    <xf numFmtId="0" fontId="8" fillId="0" borderId="0" xfId="0" applyFont="1" applyFill="1" applyBorder="1" applyAlignment="1">
      <alignment horizontal="center"/>
    </xf>
    <xf numFmtId="0" fontId="4" fillId="0" borderId="0" xfId="0" applyFont="1" applyFill="1" applyBorder="1" applyAlignment="1">
      <alignment horizontal="center" vertical="center" wrapText="1"/>
    </xf>
    <xf numFmtId="3" fontId="0" fillId="0" borderId="0" xfId="0" applyNumberFormat="1" applyFill="1" applyBorder="1" applyAlignment="1">
      <alignment/>
    </xf>
    <xf numFmtId="0" fontId="0" fillId="0" borderId="36" xfId="0" applyBorder="1" applyAlignment="1">
      <alignment/>
    </xf>
    <xf numFmtId="0" fontId="0" fillId="0" borderId="51" xfId="0" applyBorder="1" applyAlignment="1">
      <alignment/>
    </xf>
    <xf numFmtId="0" fontId="0" fillId="0" borderId="52" xfId="0" applyBorder="1" applyAlignment="1">
      <alignment/>
    </xf>
    <xf numFmtId="0" fontId="0" fillId="0" borderId="38" xfId="0" applyBorder="1" applyAlignment="1">
      <alignment/>
    </xf>
    <xf numFmtId="3" fontId="5" fillId="28" borderId="36" xfId="0" applyNumberFormat="1" applyFont="1" applyFill="1" applyBorder="1" applyAlignment="1" applyProtection="1">
      <alignment horizontal="center" vertical="top" wrapText="1"/>
      <protection locked="0"/>
    </xf>
    <xf numFmtId="0" fontId="8" fillId="4" borderId="14" xfId="62" applyNumberFormat="1" applyFont="1" applyFill="1" applyBorder="1" applyAlignment="1" applyProtection="1">
      <alignment horizontal="center"/>
      <protection locked="0"/>
    </xf>
    <xf numFmtId="182" fontId="8" fillId="4" borderId="14" xfId="62" applyNumberFormat="1" applyFont="1" applyFill="1" applyBorder="1" applyAlignment="1" applyProtection="1">
      <alignment horizontal="center"/>
      <protection locked="0"/>
    </xf>
    <xf numFmtId="0" fontId="8" fillId="7" borderId="53" xfId="0" applyFont="1" applyFill="1" applyBorder="1" applyAlignment="1">
      <alignment horizontal="center"/>
    </xf>
    <xf numFmtId="0" fontId="8" fillId="7" borderId="54" xfId="0" applyFont="1" applyFill="1" applyBorder="1" applyAlignment="1">
      <alignment horizontal="center" wrapText="1"/>
    </xf>
    <xf numFmtId="0" fontId="8" fillId="4" borderId="14" xfId="0" applyFont="1" applyFill="1" applyBorder="1" applyAlignment="1" applyProtection="1">
      <alignment horizontal="center"/>
      <protection locked="0"/>
    </xf>
    <xf numFmtId="14" fontId="8" fillId="4" borderId="46" xfId="0" applyNumberFormat="1" applyFont="1" applyFill="1" applyBorder="1" applyAlignment="1" applyProtection="1">
      <alignment horizontal="center"/>
      <protection locked="0"/>
    </xf>
    <xf numFmtId="1" fontId="8" fillId="4" borderId="46" xfId="0" applyNumberFormat="1" applyFont="1" applyFill="1" applyBorder="1" applyAlignment="1" applyProtection="1">
      <alignment horizontal="center"/>
      <protection locked="0"/>
    </xf>
    <xf numFmtId="0" fontId="0" fillId="0" borderId="13" xfId="0" applyBorder="1" applyAlignment="1">
      <alignment horizontal="center" vertical="center" wrapText="1"/>
    </xf>
    <xf numFmtId="0" fontId="8" fillId="4" borderId="46" xfId="0" applyFont="1" applyFill="1" applyBorder="1" applyAlignment="1" applyProtection="1">
      <alignment horizontal="center"/>
      <protection locked="0"/>
    </xf>
    <xf numFmtId="9" fontId="8" fillId="4" borderId="46" xfId="62" applyFont="1" applyFill="1" applyBorder="1" applyAlignment="1" applyProtection="1">
      <alignment horizontal="center"/>
      <protection locked="0"/>
    </xf>
    <xf numFmtId="38" fontId="8" fillId="22" borderId="14" xfId="0" applyNumberFormat="1" applyFont="1" applyFill="1" applyBorder="1" applyAlignment="1" applyProtection="1">
      <alignment horizontal="center"/>
      <protection/>
    </xf>
    <xf numFmtId="3" fontId="8" fillId="22" borderId="14" xfId="62" applyNumberFormat="1" applyFont="1" applyFill="1" applyBorder="1" applyAlignment="1" applyProtection="1">
      <alignment horizontal="center"/>
      <protection locked="0"/>
    </xf>
    <xf numFmtId="3" fontId="8" fillId="4" borderId="14" xfId="62" applyNumberFormat="1" applyFont="1" applyFill="1" applyBorder="1" applyAlignment="1" applyProtection="1">
      <alignment horizontal="center"/>
      <protection locked="0"/>
    </xf>
    <xf numFmtId="0" fontId="5" fillId="7" borderId="53" xfId="0" applyFont="1" applyFill="1" applyBorder="1" applyAlignment="1">
      <alignment horizontal="center"/>
    </xf>
    <xf numFmtId="0" fontId="5" fillId="7" borderId="55" xfId="0" applyFont="1" applyFill="1" applyBorder="1" applyAlignment="1">
      <alignment horizontal="center" vertical="center" wrapText="1"/>
    </xf>
    <xf numFmtId="0" fontId="6" fillId="7" borderId="56" xfId="55" applyFill="1" applyBorder="1" applyAlignment="1" applyProtection="1">
      <alignment horizontal="center"/>
      <protection/>
    </xf>
    <xf numFmtId="0" fontId="6" fillId="7" borderId="13" xfId="55" applyFill="1" applyBorder="1" applyAlignment="1" applyProtection="1">
      <alignment horizontal="center" vertical="center" wrapText="1"/>
      <protection/>
    </xf>
    <xf numFmtId="9" fontId="6" fillId="4" borderId="14" xfId="55" applyNumberFormat="1" applyFont="1" applyFill="1" applyBorder="1" applyAlignment="1" applyProtection="1">
      <alignment horizontal="center"/>
      <protection locked="0"/>
    </xf>
    <xf numFmtId="173" fontId="8" fillId="22" borderId="14" xfId="0" applyNumberFormat="1" applyFont="1" applyFill="1" applyBorder="1" applyAlignment="1" applyProtection="1">
      <alignment horizontal="center"/>
      <protection/>
    </xf>
    <xf numFmtId="0" fontId="8" fillId="11" borderId="41" xfId="0" applyFont="1" applyFill="1" applyBorder="1" applyAlignment="1" applyProtection="1">
      <alignment horizontal="center"/>
      <protection locked="0"/>
    </xf>
    <xf numFmtId="0" fontId="8" fillId="0" borderId="57" xfId="0" applyFont="1" applyFill="1" applyBorder="1" applyAlignment="1" applyProtection="1">
      <alignment horizontal="center" vertical="center" wrapText="1"/>
      <protection locked="0"/>
    </xf>
    <xf numFmtId="10" fontId="42" fillId="11" borderId="14" xfId="62" applyNumberFormat="1" applyFont="1" applyFill="1" applyBorder="1" applyAlignment="1" applyProtection="1">
      <alignment horizontal="center"/>
      <protection locked="0"/>
    </xf>
    <xf numFmtId="178" fontId="5" fillId="28" borderId="46" xfId="0" applyNumberFormat="1" applyFont="1" applyFill="1" applyBorder="1" applyAlignment="1" applyProtection="1">
      <alignment horizontal="left"/>
      <protection/>
    </xf>
    <xf numFmtId="10" fontId="42" fillId="11" borderId="46" xfId="62" applyNumberFormat="1" applyFont="1" applyFill="1" applyBorder="1" applyAlignment="1" applyProtection="1">
      <alignment horizontal="center"/>
      <protection locked="0"/>
    </xf>
    <xf numFmtId="38" fontId="5" fillId="28" borderId="22" xfId="0" applyNumberFormat="1" applyFont="1" applyFill="1" applyBorder="1" applyAlignment="1" applyProtection="1">
      <alignment horizontal="left"/>
      <protection/>
    </xf>
    <xf numFmtId="3" fontId="5" fillId="0" borderId="46" xfId="0" applyNumberFormat="1" applyFont="1" applyFill="1" applyBorder="1" applyAlignment="1" applyProtection="1">
      <alignment horizontal="center" vertical="center" wrapText="1"/>
      <protection locked="0"/>
    </xf>
    <xf numFmtId="3" fontId="5" fillId="0" borderId="14" xfId="0" applyNumberFormat="1" applyFont="1" applyFill="1" applyBorder="1" applyAlignment="1" applyProtection="1">
      <alignment horizontal="center" vertical="center" wrapText="1"/>
      <protection locked="0"/>
    </xf>
    <xf numFmtId="9" fontId="56" fillId="0" borderId="0" xfId="62" applyFont="1" applyBorder="1" applyAlignment="1">
      <alignment/>
    </xf>
    <xf numFmtId="0" fontId="4" fillId="0" borderId="58" xfId="0" applyFont="1" applyBorder="1" applyAlignment="1">
      <alignment horizontal="left"/>
    </xf>
    <xf numFmtId="0" fontId="4" fillId="0" borderId="58" xfId="0" applyFont="1" applyBorder="1" applyAlignment="1">
      <alignment horizontal="center"/>
    </xf>
    <xf numFmtId="172" fontId="49" fillId="0" borderId="28" xfId="0" applyNumberFormat="1" applyFont="1" applyBorder="1" applyAlignment="1">
      <alignment/>
    </xf>
    <xf numFmtId="0" fontId="49" fillId="0" borderId="30" xfId="0" applyFont="1" applyBorder="1" applyAlignment="1">
      <alignment/>
    </xf>
    <xf numFmtId="0" fontId="57" fillId="0" borderId="33" xfId="0" applyFont="1" applyBorder="1" applyAlignment="1">
      <alignment horizontal="center"/>
    </xf>
    <xf numFmtId="0" fontId="57" fillId="0" borderId="33" xfId="0" applyFont="1" applyBorder="1" applyAlignment="1">
      <alignment/>
    </xf>
    <xf numFmtId="0" fontId="57" fillId="0" borderId="34" xfId="0" applyFont="1" applyBorder="1" applyAlignment="1">
      <alignment/>
    </xf>
    <xf numFmtId="0" fontId="49" fillId="0" borderId="29" xfId="0" applyFont="1" applyBorder="1" applyAlignment="1">
      <alignment/>
    </xf>
    <xf numFmtId="0" fontId="49" fillId="0" borderId="31" xfId="0" applyFont="1" applyBorder="1" applyAlignment="1">
      <alignment horizontal="center"/>
    </xf>
    <xf numFmtId="0" fontId="49" fillId="0" borderId="32" xfId="0" applyFont="1" applyBorder="1" applyAlignment="1">
      <alignment/>
    </xf>
    <xf numFmtId="0" fontId="0" fillId="0" borderId="36" xfId="0" applyFill="1" applyBorder="1" applyAlignment="1">
      <alignment/>
    </xf>
    <xf numFmtId="0" fontId="49" fillId="0" borderId="25" xfId="0" applyFont="1" applyFill="1" applyBorder="1" applyAlignment="1">
      <alignment/>
    </xf>
    <xf numFmtId="0" fontId="49" fillId="0" borderId="0" xfId="0" applyFont="1" applyFill="1" applyBorder="1" applyAlignment="1">
      <alignment horizontal="center"/>
    </xf>
    <xf numFmtId="172" fontId="49" fillId="0" borderId="0" xfId="43" applyNumberFormat="1" applyFont="1" applyFill="1" applyBorder="1" applyAlignment="1">
      <alignment/>
    </xf>
    <xf numFmtId="0" fontId="49" fillId="0" borderId="0" xfId="0" applyFont="1" applyFill="1" applyBorder="1" applyAlignment="1">
      <alignment/>
    </xf>
    <xf numFmtId="172" fontId="49" fillId="0" borderId="0" xfId="0" applyNumberFormat="1" applyFont="1" applyFill="1" applyBorder="1" applyAlignment="1">
      <alignment/>
    </xf>
    <xf numFmtId="172" fontId="49" fillId="0" borderId="28" xfId="0" applyNumberFormat="1" applyFont="1" applyFill="1" applyBorder="1" applyAlignment="1">
      <alignment/>
    </xf>
    <xf numFmtId="172" fontId="51" fillId="0" borderId="28" xfId="0" applyNumberFormat="1" applyFont="1" applyBorder="1" applyAlignment="1">
      <alignment/>
    </xf>
    <xf numFmtId="0" fontId="0" fillId="0" borderId="59" xfId="0" applyBorder="1" applyAlignment="1">
      <alignment/>
    </xf>
    <xf numFmtId="0" fontId="0" fillId="0" borderId="60" xfId="0" applyBorder="1" applyAlignment="1">
      <alignment/>
    </xf>
    <xf numFmtId="0" fontId="0" fillId="0" borderId="58" xfId="0" applyBorder="1" applyAlignment="1">
      <alignment/>
    </xf>
    <xf numFmtId="10" fontId="0" fillId="0" borderId="47" xfId="0" applyNumberFormat="1" applyBorder="1" applyAlignment="1">
      <alignment horizontal="center"/>
    </xf>
    <xf numFmtId="3" fontId="0" fillId="0" borderId="47" xfId="0" applyNumberFormat="1" applyFont="1" applyBorder="1" applyAlignment="1">
      <alignment/>
    </xf>
    <xf numFmtId="0" fontId="0" fillId="0" borderId="47" xfId="0" applyBorder="1" applyAlignment="1">
      <alignment horizontal="center"/>
    </xf>
    <xf numFmtId="0" fontId="0" fillId="0" borderId="61" xfId="0" applyBorder="1" applyAlignment="1">
      <alignment vertical="top" wrapText="1"/>
    </xf>
    <xf numFmtId="3" fontId="0" fillId="0" borderId="61" xfId="0" applyNumberFormat="1" applyBorder="1" applyAlignment="1">
      <alignment vertical="center"/>
    </xf>
    <xf numFmtId="0" fontId="4" fillId="0" borderId="62" xfId="0" applyFont="1" applyBorder="1" applyAlignment="1">
      <alignment/>
    </xf>
    <xf numFmtId="0" fontId="4" fillId="0" borderId="63" xfId="0" applyFont="1" applyBorder="1" applyAlignment="1">
      <alignment/>
    </xf>
    <xf numFmtId="0" fontId="4" fillId="0" borderId="61" xfId="0" applyFont="1" applyBorder="1" applyAlignment="1">
      <alignment horizontal="center"/>
    </xf>
    <xf numFmtId="0" fontId="4" fillId="0" borderId="61" xfId="0" applyFont="1" applyBorder="1" applyAlignment="1">
      <alignment/>
    </xf>
    <xf numFmtId="3" fontId="4" fillId="0" borderId="61" xfId="0" applyNumberFormat="1" applyFont="1" applyBorder="1" applyAlignment="1">
      <alignment/>
    </xf>
    <xf numFmtId="0" fontId="0" fillId="0" borderId="49" xfId="0" applyBorder="1" applyAlignment="1">
      <alignment horizontal="center"/>
    </xf>
    <xf numFmtId="0" fontId="57" fillId="0" borderId="33" xfId="0" applyFont="1" applyFill="1" applyBorder="1" applyAlignment="1">
      <alignment/>
    </xf>
    <xf numFmtId="0" fontId="49" fillId="0" borderId="31" xfId="0" applyFont="1" applyFill="1" applyBorder="1" applyAlignment="1">
      <alignment/>
    </xf>
    <xf numFmtId="4" fontId="49" fillId="0" borderId="0" xfId="0" applyNumberFormat="1" applyFont="1" applyFill="1" applyBorder="1" applyAlignment="1">
      <alignment/>
    </xf>
    <xf numFmtId="0" fontId="0" fillId="0" borderId="0" xfId="0" applyFont="1" applyAlignment="1">
      <alignment/>
    </xf>
    <xf numFmtId="0" fontId="41" fillId="31" borderId="64" xfId="0" applyFont="1" applyFill="1" applyBorder="1" applyAlignment="1">
      <alignment horizontal="center"/>
    </xf>
    <xf numFmtId="0" fontId="5" fillId="28" borderId="65" xfId="0" applyFont="1" applyFill="1" applyBorder="1" applyAlignment="1">
      <alignment/>
    </xf>
    <xf numFmtId="0" fontId="5" fillId="28" borderId="66" xfId="0" applyFont="1" applyFill="1" applyBorder="1" applyAlignment="1">
      <alignment/>
    </xf>
    <xf numFmtId="0" fontId="46" fillId="28" borderId="66" xfId="0" applyFont="1" applyFill="1" applyBorder="1" applyAlignment="1">
      <alignment/>
    </xf>
    <xf numFmtId="0" fontId="46" fillId="28" borderId="27" xfId="0" applyFont="1" applyFill="1" applyBorder="1" applyAlignment="1">
      <alignment/>
    </xf>
    <xf numFmtId="0" fontId="5" fillId="7" borderId="66" xfId="0" applyFont="1" applyFill="1" applyBorder="1" applyAlignment="1">
      <alignment horizontal="right" wrapText="1"/>
    </xf>
    <xf numFmtId="0" fontId="5" fillId="7" borderId="27" xfId="0" applyFont="1" applyFill="1" applyBorder="1" applyAlignment="1">
      <alignment horizontal="right" wrapText="1"/>
    </xf>
    <xf numFmtId="10" fontId="5" fillId="4" borderId="66" xfId="0" applyNumberFormat="1" applyFont="1" applyFill="1" applyBorder="1" applyAlignment="1">
      <alignment/>
    </xf>
    <xf numFmtId="10" fontId="5" fillId="4" borderId="27" xfId="0" applyNumberFormat="1" applyFont="1" applyFill="1" applyBorder="1" applyAlignment="1">
      <alignment/>
    </xf>
    <xf numFmtId="0" fontId="49" fillId="24" borderId="0" xfId="0" applyFont="1" applyFill="1" applyBorder="1" applyAlignment="1">
      <alignment/>
    </xf>
    <xf numFmtId="0" fontId="0" fillId="0" borderId="0" xfId="0" applyFont="1" applyAlignment="1">
      <alignment/>
    </xf>
    <xf numFmtId="0" fontId="49" fillId="0" borderId="0" xfId="0" applyFont="1" applyFill="1" applyAlignment="1">
      <alignment/>
    </xf>
    <xf numFmtId="3" fontId="49" fillId="0" borderId="33" xfId="0" applyNumberFormat="1" applyFont="1" applyFill="1" applyBorder="1" applyAlignment="1">
      <alignment/>
    </xf>
    <xf numFmtId="0" fontId="50" fillId="0" borderId="31" xfId="0" applyFont="1" applyFill="1" applyBorder="1" applyAlignment="1">
      <alignment/>
    </xf>
    <xf numFmtId="38" fontId="49" fillId="0" borderId="33" xfId="0" applyNumberFormat="1" applyFont="1" applyFill="1" applyBorder="1" applyAlignment="1">
      <alignment/>
    </xf>
    <xf numFmtId="38" fontId="49" fillId="0" borderId="0" xfId="0" applyNumberFormat="1" applyFont="1" applyFill="1" applyBorder="1" applyAlignment="1">
      <alignment/>
    </xf>
    <xf numFmtId="9" fontId="56" fillId="0" borderId="33" xfId="62" applyFont="1" applyFill="1" applyBorder="1" applyAlignment="1">
      <alignment/>
    </xf>
    <xf numFmtId="9" fontId="56" fillId="0" borderId="0" xfId="62" applyFont="1" applyFill="1" applyBorder="1" applyAlignment="1">
      <alignment/>
    </xf>
    <xf numFmtId="0" fontId="51" fillId="0" borderId="0" xfId="0" applyFont="1" applyFill="1" applyBorder="1" applyAlignment="1">
      <alignment/>
    </xf>
    <xf numFmtId="9" fontId="49" fillId="0" borderId="31" xfId="62" applyFont="1" applyFill="1" applyBorder="1" applyAlignment="1">
      <alignment/>
    </xf>
    <xf numFmtId="10" fontId="50" fillId="0" borderId="0" xfId="0" applyNumberFormat="1" applyFont="1" applyFill="1" applyBorder="1" applyAlignment="1">
      <alignment/>
    </xf>
    <xf numFmtId="0" fontId="57" fillId="0" borderId="0" xfId="0" applyFont="1" applyFill="1" applyAlignment="1">
      <alignment/>
    </xf>
    <xf numFmtId="0" fontId="58" fillId="0" borderId="0" xfId="0" applyFont="1" applyFill="1" applyAlignment="1">
      <alignment/>
    </xf>
    <xf numFmtId="0" fontId="68" fillId="0" borderId="0" xfId="0" applyFont="1" applyAlignment="1">
      <alignment/>
    </xf>
    <xf numFmtId="172" fontId="49" fillId="15" borderId="31" xfId="0" applyNumberFormat="1" applyFont="1" applyFill="1" applyBorder="1" applyAlignment="1">
      <alignment/>
    </xf>
    <xf numFmtId="41" fontId="0" fillId="0" borderId="0" xfId="44" applyFont="1" applyAlignment="1">
      <alignment wrapText="1"/>
    </xf>
    <xf numFmtId="10" fontId="5" fillId="28" borderId="27" xfId="0" applyNumberFormat="1" applyFont="1" applyFill="1" applyBorder="1" applyAlignment="1">
      <alignment/>
    </xf>
    <xf numFmtId="4" fontId="18" fillId="4" borderId="22" xfId="0" applyNumberFormat="1" applyFont="1" applyFill="1" applyBorder="1" applyAlignment="1">
      <alignment/>
    </xf>
    <xf numFmtId="0" fontId="62" fillId="0" borderId="67" xfId="0" applyFont="1" applyBorder="1" applyAlignment="1">
      <alignment wrapText="1"/>
    </xf>
    <xf numFmtId="3" fontId="18" fillId="4" borderId="14" xfId="0" applyNumberFormat="1" applyFont="1" applyFill="1" applyBorder="1" applyAlignment="1">
      <alignment/>
    </xf>
    <xf numFmtId="3" fontId="62" fillId="0" borderId="38" xfId="0" applyNumberFormat="1" applyFont="1" applyFill="1" applyBorder="1" applyAlignment="1">
      <alignment horizontal="center" vertical="top" wrapText="1"/>
    </xf>
    <xf numFmtId="0" fontId="69" fillId="0" borderId="0" xfId="0" applyFont="1" applyAlignment="1">
      <alignment/>
    </xf>
    <xf numFmtId="0" fontId="0" fillId="0" borderId="0" xfId="0" applyAlignment="1">
      <alignment/>
    </xf>
    <xf numFmtId="0" fontId="4" fillId="7" borderId="0" xfId="0" applyFont="1" applyFill="1" applyAlignment="1">
      <alignment/>
    </xf>
    <xf numFmtId="10" fontId="4" fillId="7" borderId="0" xfId="62" applyNumberFormat="1" applyFont="1" applyFill="1" applyAlignment="1">
      <alignment/>
    </xf>
    <xf numFmtId="0" fontId="63" fillId="0" borderId="35" xfId="0" applyFont="1" applyFill="1" applyBorder="1" applyAlignment="1">
      <alignment horizontal="center" vertical="top" wrapText="1"/>
    </xf>
    <xf numFmtId="0" fontId="63" fillId="0" borderId="40" xfId="0" applyFont="1" applyFill="1" applyBorder="1" applyAlignment="1">
      <alignment horizontal="center" vertical="top" wrapText="1"/>
    </xf>
    <xf numFmtId="184" fontId="0" fillId="0" borderId="14" xfId="0" applyNumberFormat="1" applyFont="1" applyBorder="1" applyAlignment="1">
      <alignment horizontal="center" vertical="center" wrapText="1"/>
    </xf>
    <xf numFmtId="184" fontId="4" fillId="0" borderId="14" xfId="0" applyNumberFormat="1" applyFont="1" applyBorder="1" applyAlignment="1">
      <alignment horizontal="center" vertical="center" wrapText="1"/>
    </xf>
    <xf numFmtId="0" fontId="0" fillId="0" borderId="14" xfId="0" applyFont="1" applyBorder="1" applyAlignment="1">
      <alignment horizontal="left" vertical="center" wrapText="1"/>
    </xf>
    <xf numFmtId="0" fontId="0" fillId="0" borderId="0" xfId="0" applyAlignment="1">
      <alignment vertical="top" wrapText="1"/>
    </xf>
    <xf numFmtId="10" fontId="0" fillId="0" borderId="0" xfId="0" applyNumberFormat="1" applyAlignment="1">
      <alignment vertical="top" wrapText="1"/>
    </xf>
    <xf numFmtId="0" fontId="0" fillId="0" borderId="0" xfId="0" applyAlignment="1">
      <alignment vertical="top"/>
    </xf>
    <xf numFmtId="9" fontId="6" fillId="7" borderId="22" xfId="55" applyNumberFormat="1" applyFont="1" applyFill="1" applyBorder="1" applyAlignment="1" applyProtection="1">
      <alignment horizontal="center" vertical="center" wrapText="1"/>
      <protection locked="0"/>
    </xf>
    <xf numFmtId="41" fontId="49" fillId="24" borderId="0" xfId="44" applyFont="1" applyFill="1" applyBorder="1" applyAlignment="1">
      <alignment/>
    </xf>
    <xf numFmtId="41" fontId="49" fillId="24" borderId="0" xfId="0" applyNumberFormat="1" applyFont="1" applyFill="1" applyBorder="1" applyAlignment="1">
      <alignment/>
    </xf>
    <xf numFmtId="4" fontId="18" fillId="4" borderId="14" xfId="0" applyNumberFormat="1" applyFont="1" applyFill="1" applyBorder="1" applyAlignment="1">
      <alignment horizontal="center" vertical="center" wrapText="1"/>
    </xf>
    <xf numFmtId="0" fontId="4" fillId="4" borderId="0" xfId="0" applyFont="1" applyFill="1" applyBorder="1" applyAlignment="1">
      <alignment horizontal="left"/>
    </xf>
    <xf numFmtId="0" fontId="0" fillId="0" borderId="0" xfId="0" applyBorder="1" applyAlignment="1">
      <alignment/>
    </xf>
    <xf numFmtId="0" fontId="4" fillId="11" borderId="0" xfId="0" applyFont="1" applyFill="1" applyBorder="1" applyAlignment="1">
      <alignment horizontal="left"/>
    </xf>
    <xf numFmtId="0" fontId="4" fillId="22" borderId="0" xfId="0" applyFont="1" applyFill="1" applyBorder="1" applyAlignment="1">
      <alignment horizontal="left"/>
    </xf>
    <xf numFmtId="0" fontId="4" fillId="0" borderId="14" xfId="0" applyFont="1" applyBorder="1" applyAlignment="1">
      <alignment horizontal="center" vertical="center" wrapText="1"/>
    </xf>
    <xf numFmtId="3" fontId="5" fillId="28" borderId="13" xfId="0" applyNumberFormat="1" applyFont="1" applyFill="1" applyBorder="1" applyAlignment="1" applyProtection="1">
      <alignment horizontal="center" vertical="center" wrapText="1"/>
      <protection locked="0"/>
    </xf>
    <xf numFmtId="0" fontId="0" fillId="0" borderId="13" xfId="0" applyBorder="1" applyAlignment="1">
      <alignment horizontal="center" vertical="center" wrapText="1"/>
    </xf>
    <xf numFmtId="0" fontId="0" fillId="0" borderId="22" xfId="0" applyBorder="1" applyAlignment="1">
      <alignment horizontal="center" vertical="center" wrapText="1"/>
    </xf>
    <xf numFmtId="0" fontId="16" fillId="16" borderId="12" xfId="0" applyFont="1" applyFill="1" applyBorder="1" applyAlignment="1">
      <alignment horizontal="left" vertical="center"/>
    </xf>
    <xf numFmtId="0" fontId="16" fillId="16" borderId="0" xfId="0" applyFont="1" applyFill="1" applyBorder="1" applyAlignment="1">
      <alignment horizontal="left" vertical="center"/>
    </xf>
    <xf numFmtId="0" fontId="16" fillId="16" borderId="43" xfId="0" applyFont="1" applyFill="1" applyBorder="1" applyAlignment="1">
      <alignment/>
    </xf>
    <xf numFmtId="0" fontId="17" fillId="0" borderId="17" xfId="0" applyFont="1" applyBorder="1" applyAlignment="1">
      <alignment/>
    </xf>
    <xf numFmtId="0" fontId="17" fillId="0" borderId="18" xfId="0" applyFont="1" applyBorder="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lp_column_header" xfId="40"/>
    <cellStyle name="Calculation" xfId="41"/>
    <cellStyle name="Check Cell" xfId="42"/>
    <cellStyle name="Comma" xfId="43"/>
    <cellStyle name="Comma [0]" xfId="44"/>
    <cellStyle name="Currency" xfId="45"/>
    <cellStyle name="Currency [0]" xfId="46"/>
    <cellStyle name="Euro"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Hyperlink_ESL CER Calculator Electricity Projects - Kunming v2" xfId="56"/>
    <cellStyle name="Input" xfId="57"/>
    <cellStyle name="Linked Cell" xfId="58"/>
    <cellStyle name="Neutral"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4.emf" /><Relationship Id="rId3" Type="http://schemas.openxmlformats.org/officeDocument/2006/relationships/image" Target="../media/image5.emf"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6.png" /><Relationship Id="rId3" Type="http://schemas.openxmlformats.org/officeDocument/2006/relationships/image" Target="../media/image7.png" /><Relationship Id="rId4" Type="http://schemas.openxmlformats.org/officeDocument/2006/relationships/image" Target="../media/image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1123950</xdr:colOff>
      <xdr:row>3</xdr:row>
      <xdr:rowOff>104775</xdr:rowOff>
    </xdr:to>
    <xdr:pic>
      <xdr:nvPicPr>
        <xdr:cNvPr id="1" name="Picture 1"/>
        <xdr:cNvPicPr preferRelativeResize="1">
          <a:picLocks noChangeAspect="1"/>
        </xdr:cNvPicPr>
      </xdr:nvPicPr>
      <xdr:blipFill>
        <a:blip r:embed="rId1"/>
        <a:stretch>
          <a:fillRect/>
        </a:stretch>
      </xdr:blipFill>
      <xdr:spPr>
        <a:xfrm>
          <a:off x="0" y="0"/>
          <a:ext cx="2314575" cy="590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381000</xdr:colOff>
      <xdr:row>3</xdr:row>
      <xdr:rowOff>104775</xdr:rowOff>
    </xdr:to>
    <xdr:pic>
      <xdr:nvPicPr>
        <xdr:cNvPr id="1" name="Picture 1"/>
        <xdr:cNvPicPr preferRelativeResize="1">
          <a:picLocks noChangeAspect="1"/>
        </xdr:cNvPicPr>
      </xdr:nvPicPr>
      <xdr:blipFill>
        <a:blip r:embed="rId1"/>
        <a:stretch>
          <a:fillRect/>
        </a:stretch>
      </xdr:blipFill>
      <xdr:spPr>
        <a:xfrm>
          <a:off x="0" y="0"/>
          <a:ext cx="2324100" cy="590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104775</xdr:colOff>
      <xdr:row>28</xdr:row>
      <xdr:rowOff>0</xdr:rowOff>
    </xdr:from>
    <xdr:to>
      <xdr:col>12</xdr:col>
      <xdr:colOff>114300</xdr:colOff>
      <xdr:row>28</xdr:row>
      <xdr:rowOff>0</xdr:rowOff>
    </xdr:to>
    <xdr:sp>
      <xdr:nvSpPr>
        <xdr:cNvPr id="1" name="AutoShape 1"/>
        <xdr:cNvSpPr>
          <a:spLocks/>
        </xdr:cNvSpPr>
      </xdr:nvSpPr>
      <xdr:spPr>
        <a:xfrm>
          <a:off x="5772150" y="5972175"/>
          <a:ext cx="2371725" cy="0"/>
        </a:xfrm>
        <a:prstGeom prst="bracePair">
          <a:avLst/>
        </a:prstGeom>
        <a:noFill/>
        <a:ln w="222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5</xdr:col>
      <xdr:colOff>0</xdr:colOff>
      <xdr:row>19</xdr:row>
      <xdr:rowOff>152400</xdr:rowOff>
    </xdr:from>
    <xdr:to>
      <xdr:col>9</xdr:col>
      <xdr:colOff>514350</xdr:colOff>
      <xdr:row>21</xdr:row>
      <xdr:rowOff>0</xdr:rowOff>
    </xdr:to>
    <xdr:pic>
      <xdr:nvPicPr>
        <xdr:cNvPr id="2" name="Picture 63"/>
        <xdr:cNvPicPr preferRelativeResize="1">
          <a:picLocks noChangeAspect="1"/>
        </xdr:cNvPicPr>
      </xdr:nvPicPr>
      <xdr:blipFill>
        <a:blip r:embed="rId1"/>
        <a:stretch>
          <a:fillRect/>
        </a:stretch>
      </xdr:blipFill>
      <xdr:spPr>
        <a:xfrm>
          <a:off x="3743325" y="3648075"/>
          <a:ext cx="3028950" cy="247650"/>
        </a:xfrm>
        <a:prstGeom prst="rect">
          <a:avLst/>
        </a:prstGeom>
        <a:noFill/>
        <a:ln w="9525" cmpd="sng">
          <a:noFill/>
        </a:ln>
      </xdr:spPr>
    </xdr:pic>
    <xdr:clientData/>
  </xdr:twoCellAnchor>
  <xdr:twoCellAnchor editAs="oneCell">
    <xdr:from>
      <xdr:col>5</xdr:col>
      <xdr:colOff>0</xdr:colOff>
      <xdr:row>14</xdr:row>
      <xdr:rowOff>0</xdr:rowOff>
    </xdr:from>
    <xdr:to>
      <xdr:col>7</xdr:col>
      <xdr:colOff>0</xdr:colOff>
      <xdr:row>15</xdr:row>
      <xdr:rowOff>0</xdr:rowOff>
    </xdr:to>
    <xdr:pic>
      <xdr:nvPicPr>
        <xdr:cNvPr id="3" name="Picture 65"/>
        <xdr:cNvPicPr preferRelativeResize="1">
          <a:picLocks noChangeAspect="1"/>
        </xdr:cNvPicPr>
      </xdr:nvPicPr>
      <xdr:blipFill>
        <a:blip r:embed="rId2"/>
        <a:stretch>
          <a:fillRect/>
        </a:stretch>
      </xdr:blipFill>
      <xdr:spPr>
        <a:xfrm>
          <a:off x="3743325" y="2476500"/>
          <a:ext cx="1333500" cy="257175"/>
        </a:xfrm>
        <a:prstGeom prst="rect">
          <a:avLst/>
        </a:prstGeom>
        <a:noFill/>
        <a:ln w="9525" cmpd="sng">
          <a:noFill/>
        </a:ln>
      </xdr:spPr>
    </xdr:pic>
    <xdr:clientData/>
  </xdr:twoCellAnchor>
  <xdr:twoCellAnchor editAs="oneCell">
    <xdr:from>
      <xdr:col>0</xdr:col>
      <xdr:colOff>0</xdr:colOff>
      <xdr:row>0</xdr:row>
      <xdr:rowOff>0</xdr:rowOff>
    </xdr:from>
    <xdr:to>
      <xdr:col>3</xdr:col>
      <xdr:colOff>276225</xdr:colOff>
      <xdr:row>3</xdr:row>
      <xdr:rowOff>104775</xdr:rowOff>
    </xdr:to>
    <xdr:pic>
      <xdr:nvPicPr>
        <xdr:cNvPr id="4" name="Picture 6"/>
        <xdr:cNvPicPr preferRelativeResize="1">
          <a:picLocks noChangeAspect="1"/>
        </xdr:cNvPicPr>
      </xdr:nvPicPr>
      <xdr:blipFill>
        <a:blip r:embed="rId3"/>
        <a:stretch>
          <a:fillRect/>
        </a:stretch>
      </xdr:blipFill>
      <xdr:spPr>
        <a:xfrm>
          <a:off x="0" y="0"/>
          <a:ext cx="2324100" cy="5905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609600</xdr:colOff>
      <xdr:row>3</xdr:row>
      <xdr:rowOff>104775</xdr:rowOff>
    </xdr:to>
    <xdr:pic>
      <xdr:nvPicPr>
        <xdr:cNvPr id="1" name="Picture 1"/>
        <xdr:cNvPicPr preferRelativeResize="1">
          <a:picLocks noChangeAspect="1"/>
        </xdr:cNvPicPr>
      </xdr:nvPicPr>
      <xdr:blipFill>
        <a:blip r:embed="rId1"/>
        <a:stretch>
          <a:fillRect/>
        </a:stretch>
      </xdr:blipFill>
      <xdr:spPr>
        <a:xfrm>
          <a:off x="0" y="0"/>
          <a:ext cx="2305050" cy="590550"/>
        </a:xfrm>
        <a:prstGeom prst="rect">
          <a:avLst/>
        </a:prstGeom>
        <a:noFill/>
        <a:ln w="9525" cmpd="sng">
          <a:noFill/>
        </a:ln>
      </xdr:spPr>
    </xdr:pic>
    <xdr:clientData/>
  </xdr:twoCellAnchor>
  <xdr:twoCellAnchor editAs="oneCell">
    <xdr:from>
      <xdr:col>3</xdr:col>
      <xdr:colOff>676275</xdr:colOff>
      <xdr:row>15</xdr:row>
      <xdr:rowOff>314325</xdr:rowOff>
    </xdr:from>
    <xdr:to>
      <xdr:col>5</xdr:col>
      <xdr:colOff>571500</xdr:colOff>
      <xdr:row>15</xdr:row>
      <xdr:rowOff>895350</xdr:rowOff>
    </xdr:to>
    <xdr:pic>
      <xdr:nvPicPr>
        <xdr:cNvPr id="2" name="Picture 2"/>
        <xdr:cNvPicPr preferRelativeResize="1">
          <a:picLocks noChangeAspect="1"/>
        </xdr:cNvPicPr>
      </xdr:nvPicPr>
      <xdr:blipFill>
        <a:blip r:embed="rId2"/>
        <a:stretch>
          <a:fillRect/>
        </a:stretch>
      </xdr:blipFill>
      <xdr:spPr>
        <a:xfrm>
          <a:off x="3419475" y="2876550"/>
          <a:ext cx="2009775" cy="581025"/>
        </a:xfrm>
        <a:prstGeom prst="rect">
          <a:avLst/>
        </a:prstGeom>
        <a:noFill/>
        <a:ln w="9525" cmpd="sng">
          <a:noFill/>
        </a:ln>
      </xdr:spPr>
    </xdr:pic>
    <xdr:clientData/>
  </xdr:twoCellAnchor>
  <xdr:twoCellAnchor editAs="oneCell">
    <xdr:from>
      <xdr:col>3</xdr:col>
      <xdr:colOff>704850</xdr:colOff>
      <xdr:row>15</xdr:row>
      <xdr:rowOff>1200150</xdr:rowOff>
    </xdr:from>
    <xdr:to>
      <xdr:col>4</xdr:col>
      <xdr:colOff>1028700</xdr:colOff>
      <xdr:row>16</xdr:row>
      <xdr:rowOff>133350</xdr:rowOff>
    </xdr:to>
    <xdr:pic>
      <xdr:nvPicPr>
        <xdr:cNvPr id="3" name="Picture 3"/>
        <xdr:cNvPicPr preferRelativeResize="1">
          <a:picLocks noChangeAspect="1"/>
        </xdr:cNvPicPr>
      </xdr:nvPicPr>
      <xdr:blipFill>
        <a:blip r:embed="rId3"/>
        <a:stretch>
          <a:fillRect/>
        </a:stretch>
      </xdr:blipFill>
      <xdr:spPr>
        <a:xfrm>
          <a:off x="3448050" y="3762375"/>
          <a:ext cx="1381125" cy="5619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2047875</xdr:colOff>
      <xdr:row>3</xdr:row>
      <xdr:rowOff>104775</xdr:rowOff>
    </xdr:to>
    <xdr:pic>
      <xdr:nvPicPr>
        <xdr:cNvPr id="1" name="Picture 1"/>
        <xdr:cNvPicPr preferRelativeResize="1">
          <a:picLocks noChangeAspect="1"/>
        </xdr:cNvPicPr>
      </xdr:nvPicPr>
      <xdr:blipFill>
        <a:blip r:embed="rId1"/>
        <a:stretch>
          <a:fillRect/>
        </a:stretch>
      </xdr:blipFill>
      <xdr:spPr>
        <a:xfrm>
          <a:off x="0" y="0"/>
          <a:ext cx="2305050" cy="5905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1362075</xdr:colOff>
      <xdr:row>3</xdr:row>
      <xdr:rowOff>104775</xdr:rowOff>
    </xdr:to>
    <xdr:pic>
      <xdr:nvPicPr>
        <xdr:cNvPr id="1" name="Picture 1"/>
        <xdr:cNvPicPr preferRelativeResize="1">
          <a:picLocks noChangeAspect="1"/>
        </xdr:cNvPicPr>
      </xdr:nvPicPr>
      <xdr:blipFill>
        <a:blip r:embed="rId1"/>
        <a:stretch>
          <a:fillRect/>
        </a:stretch>
      </xdr:blipFill>
      <xdr:spPr>
        <a:xfrm>
          <a:off x="0" y="0"/>
          <a:ext cx="2314575" cy="5905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85725</xdr:colOff>
      <xdr:row>3</xdr:row>
      <xdr:rowOff>104775</xdr:rowOff>
    </xdr:to>
    <xdr:pic>
      <xdr:nvPicPr>
        <xdr:cNvPr id="1" name="Picture 1"/>
        <xdr:cNvPicPr preferRelativeResize="1">
          <a:picLocks noChangeAspect="1"/>
        </xdr:cNvPicPr>
      </xdr:nvPicPr>
      <xdr:blipFill>
        <a:blip r:embed="rId1"/>
        <a:stretch>
          <a:fillRect/>
        </a:stretch>
      </xdr:blipFill>
      <xdr:spPr>
        <a:xfrm>
          <a:off x="0" y="0"/>
          <a:ext cx="2409825" cy="590550"/>
        </a:xfrm>
        <a:prstGeom prst="rect">
          <a:avLst/>
        </a:prstGeom>
        <a:noFill/>
        <a:ln w="9525" cmpd="sng">
          <a:noFill/>
        </a:ln>
      </xdr:spPr>
    </xdr:pic>
    <xdr:clientData/>
  </xdr:twoCellAnchor>
  <xdr:twoCellAnchor editAs="oneCell">
    <xdr:from>
      <xdr:col>0</xdr:col>
      <xdr:colOff>180975</xdr:colOff>
      <xdr:row>16</xdr:row>
      <xdr:rowOff>0</xdr:rowOff>
    </xdr:from>
    <xdr:to>
      <xdr:col>2</xdr:col>
      <xdr:colOff>695325</xdr:colOff>
      <xdr:row>17</xdr:row>
      <xdr:rowOff>57150</xdr:rowOff>
    </xdr:to>
    <xdr:pic>
      <xdr:nvPicPr>
        <xdr:cNvPr id="2" name="Picture 3"/>
        <xdr:cNvPicPr preferRelativeResize="1">
          <a:picLocks noChangeAspect="1"/>
        </xdr:cNvPicPr>
      </xdr:nvPicPr>
      <xdr:blipFill>
        <a:blip r:embed="rId2"/>
        <a:stretch>
          <a:fillRect/>
        </a:stretch>
      </xdr:blipFill>
      <xdr:spPr>
        <a:xfrm>
          <a:off x="180975" y="2524125"/>
          <a:ext cx="2076450" cy="219075"/>
        </a:xfrm>
        <a:prstGeom prst="rect">
          <a:avLst/>
        </a:prstGeom>
        <a:noFill/>
        <a:ln w="9525" cmpd="sng">
          <a:solidFill>
            <a:srgbClr val="000000"/>
          </a:solidFill>
          <a:headEnd type="none"/>
          <a:tailEnd type="none"/>
        </a:ln>
      </xdr:spPr>
    </xdr:pic>
    <xdr:clientData/>
  </xdr:twoCellAnchor>
  <xdr:twoCellAnchor>
    <xdr:from>
      <xdr:col>0</xdr:col>
      <xdr:colOff>133350</xdr:colOff>
      <xdr:row>23</xdr:row>
      <xdr:rowOff>152400</xdr:rowOff>
    </xdr:from>
    <xdr:to>
      <xdr:col>4</xdr:col>
      <xdr:colOff>238125</xdr:colOff>
      <xdr:row>26</xdr:row>
      <xdr:rowOff>133350</xdr:rowOff>
    </xdr:to>
    <xdr:pic>
      <xdr:nvPicPr>
        <xdr:cNvPr id="3" name="Picture 20"/>
        <xdr:cNvPicPr preferRelativeResize="1">
          <a:picLocks noChangeAspect="1"/>
        </xdr:cNvPicPr>
      </xdr:nvPicPr>
      <xdr:blipFill>
        <a:blip r:embed="rId3"/>
        <a:stretch>
          <a:fillRect/>
        </a:stretch>
      </xdr:blipFill>
      <xdr:spPr>
        <a:xfrm>
          <a:off x="133350" y="3810000"/>
          <a:ext cx="3190875" cy="466725"/>
        </a:xfrm>
        <a:prstGeom prst="rect">
          <a:avLst/>
        </a:prstGeom>
        <a:noFill/>
        <a:ln w="9525" cmpd="sng">
          <a:noFill/>
        </a:ln>
      </xdr:spPr>
    </xdr:pic>
    <xdr:clientData/>
  </xdr:twoCellAnchor>
  <xdr:twoCellAnchor editAs="oneCell">
    <xdr:from>
      <xdr:col>7</xdr:col>
      <xdr:colOff>0</xdr:colOff>
      <xdr:row>15</xdr:row>
      <xdr:rowOff>0</xdr:rowOff>
    </xdr:from>
    <xdr:to>
      <xdr:col>13</xdr:col>
      <xdr:colOff>1724025</xdr:colOff>
      <xdr:row>26</xdr:row>
      <xdr:rowOff>28575</xdr:rowOff>
    </xdr:to>
    <xdr:pic>
      <xdr:nvPicPr>
        <xdr:cNvPr id="4" name="Picture 4"/>
        <xdr:cNvPicPr preferRelativeResize="1">
          <a:picLocks noChangeAspect="1"/>
        </xdr:cNvPicPr>
      </xdr:nvPicPr>
      <xdr:blipFill>
        <a:blip r:embed="rId4"/>
        <a:stretch>
          <a:fillRect/>
        </a:stretch>
      </xdr:blipFill>
      <xdr:spPr>
        <a:xfrm>
          <a:off x="5372100" y="2362200"/>
          <a:ext cx="6467475" cy="18097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TSERVER\D\Thermochem\Lab%20-%20Bandung\Bandung%20NCG\NCG%20Reports\NCG%20Calc%2020040922%20(2275ri).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K\Boku\Orenofile\GHG\Jamali%20emission%20factor\JAMALI_Baseline_17Apr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omb Calculation Macro Control"/>
      <sheetName val="License"/>
      <sheetName val="TCD (GIS) Response"/>
      <sheetName val="Bomb Calcs"/>
      <sheetName val="Air Corrected Report"/>
      <sheetName val="Client EDD live"/>
      <sheetName val="TCD Replicate Data"/>
      <sheetName val="Wet Chem QC Data"/>
      <sheetName val="QC Data Report"/>
      <sheetName val="Calpine EDD"/>
      <sheetName val="2275RI (1)"/>
      <sheetName val="2275RI (2)"/>
      <sheetName val="2275RI (3)"/>
      <sheetName val="2275RI (4)"/>
      <sheetName val="2275RI (5)"/>
      <sheetName val="2275RI (6)"/>
      <sheetName val="2275RI (7)"/>
      <sheetName val="2275RI (8)"/>
      <sheetName val="2275RI (9)"/>
      <sheetName val="2275RI (10)"/>
      <sheetName val="2275RI (11)"/>
      <sheetName val="2275RI (12)"/>
      <sheetName val="2275RI (13)"/>
      <sheetName val="2275RI (14)"/>
      <sheetName val="2275RI (15)"/>
      <sheetName val="2275RI (16)"/>
      <sheetName val="2275RI (17)"/>
      <sheetName val="2275RI (18)"/>
      <sheetName val="2275RI (19)"/>
    </sheetNames>
    <sheetDataSet>
      <sheetData sheetId="2">
        <row r="5">
          <cell r="B5">
            <v>25000</v>
          </cell>
          <cell r="C5">
            <v>638052</v>
          </cell>
          <cell r="D5">
            <v>48263</v>
          </cell>
          <cell r="E5">
            <v>353939</v>
          </cell>
          <cell r="F5">
            <v>300000</v>
          </cell>
          <cell r="G5">
            <v>12000</v>
          </cell>
        </row>
        <row r="6">
          <cell r="B6">
            <v>718241</v>
          </cell>
          <cell r="C6">
            <v>8644087</v>
          </cell>
          <cell r="D6">
            <v>380429</v>
          </cell>
          <cell r="E6">
            <v>3584664</v>
          </cell>
          <cell r="F6">
            <v>9962278</v>
          </cell>
          <cell r="G6">
            <v>685279</v>
          </cell>
        </row>
        <row r="7">
          <cell r="B7">
            <v>6.970478376556198E-08</v>
          </cell>
          <cell r="C7">
            <v>4.050472186216559E-07</v>
          </cell>
          <cell r="D7">
            <v>1.6482253013560776E-09</v>
          </cell>
          <cell r="E7">
            <v>-4.9552975051243815E-09</v>
          </cell>
          <cell r="F7">
            <v>-4.617660466272667E-07</v>
          </cell>
          <cell r="G7">
            <v>-7.757549310687264E-09</v>
          </cell>
        </row>
        <row r="8">
          <cell r="B8">
            <v>8.722995934567522E-12</v>
          </cell>
          <cell r="C8">
            <v>7.71278192687222E-12</v>
          </cell>
          <cell r="D8">
            <v>1.4074763029632121E-13</v>
          </cell>
          <cell r="E8">
            <v>2.7715502495461483E-13</v>
          </cell>
          <cell r="F8">
            <v>5.162515156725595E-12</v>
          </cell>
          <cell r="G8">
            <v>6.6302755034259096E-12</v>
          </cell>
        </row>
        <row r="9">
          <cell r="B9">
            <v>-9.196280505602343E-19</v>
          </cell>
          <cell r="C9">
            <v>-1.4162460927017205E-19</v>
          </cell>
          <cell r="D9">
            <v>1.530841161074885E-19</v>
          </cell>
          <cell r="E9">
            <v>-1.0998259940418123E-20</v>
          </cell>
          <cell r="F9">
            <v>2.1207628295755733E-20</v>
          </cell>
          <cell r="G9">
            <v>0</v>
          </cell>
        </row>
        <row r="10">
          <cell r="B10">
            <v>0</v>
          </cell>
          <cell r="C10">
            <v>0</v>
          </cell>
          <cell r="D10">
            <v>0</v>
          </cell>
          <cell r="E10">
            <v>0</v>
          </cell>
          <cell r="F10">
            <v>0</v>
          </cell>
          <cell r="G10">
            <v>0</v>
          </cell>
        </row>
      </sheetData>
      <sheetData sheetId="3">
        <row r="2">
          <cell r="B2">
            <v>8.54</v>
          </cell>
        </row>
        <row r="4">
          <cell r="A4" t="str">
            <v>Lab Number</v>
          </cell>
          <cell r="B4" t="str">
            <v>Bomb Volume</v>
          </cell>
          <cell r="C4" t="str">
            <v>Bombvol Ref</v>
          </cell>
          <cell r="D4" t="str">
            <v>Bomb Number</v>
          </cell>
          <cell r="E4" t="str">
            <v>Empty Weight</v>
          </cell>
          <cell r="F4" t="str">
            <v>Weight Before Vacuum</v>
          </cell>
          <cell r="G4" t="str">
            <v>Weight after Vacuum</v>
          </cell>
          <cell r="H4" t="str">
            <v>Weight Recvd.</v>
          </cell>
          <cell r="I4" t="str">
            <v>NaOH Density</v>
          </cell>
          <cell r="J4" t="str">
            <v>Gr NaOh</v>
          </cell>
          <cell r="K4" t="str">
            <v>Scrub</v>
          </cell>
          <cell r="L4" t="str">
            <v>Grm Con</v>
          </cell>
          <cell r="M4" t="str">
            <v>Measured Density</v>
          </cell>
          <cell r="N4" t="str">
            <v>Samp Dens</v>
          </cell>
          <cell r="O4" t="str">
            <v>%Diff Calc/Meas Density</v>
          </cell>
          <cell r="P4" t="str">
            <v>LV</v>
          </cell>
          <cell r="Q4" t="str">
            <v>HS</v>
          </cell>
          <cell r="R4" t="str">
            <v>Bomb Initial Pressure Reading</v>
          </cell>
          <cell r="S4" t="str">
            <v>Bomb Initial Pressure Loop Size</v>
          </cell>
          <cell r="T4" t="str">
            <v>Bomb Temperature     (in Degrees C.)</v>
          </cell>
          <cell r="U4" t="str">
            <v>Bomb Headspace Pressure</v>
          </cell>
          <cell r="V4" t="str">
            <v>Total HS Moles</v>
          </cell>
          <cell r="W4" t="str">
            <v>Loop size Injected              ( in mls)</v>
          </cell>
          <cell r="X4" t="str">
            <v>Loop Pressure         (in psia)</v>
          </cell>
          <cell r="Y4" t="str">
            <v>Loop Temperature         (in degrees C.)</v>
          </cell>
          <cell r="Z4" t="str">
            <v>Total Loop Moles</v>
          </cell>
          <cell r="AA4" t="str">
            <v>Area Counts Argon</v>
          </cell>
          <cell r="AB4" t="str">
            <v>Sol. Frac Argon</v>
          </cell>
          <cell r="AC4" t="str">
            <v>Argon Moles in Injection</v>
          </cell>
          <cell r="AD4" t="str">
            <v>Total Moles Argon in Bomb</v>
          </cell>
          <cell r="AE4" t="str">
            <v>Total Moles Argon in Bomb             (O2 Corr.)</v>
          </cell>
          <cell r="AF4" t="str">
            <v>Micro Grams Argon in Bomb</v>
          </cell>
          <cell r="AG4" t="str">
            <v>Micro Grams Argon in Bomb             (O2 Corr.)</v>
          </cell>
          <cell r="AH4" t="str">
            <v>Mole % Argon</v>
          </cell>
          <cell r="AI4" t="str">
            <v>Mole Argon/10^6 Mole H2O</v>
          </cell>
          <cell r="AJ4" t="str">
            <v>PPMw Argon</v>
          </cell>
          <cell r="AK4" t="str">
            <v>Air Corrected Mole % Argon</v>
          </cell>
          <cell r="AL4" t="str">
            <v>Air Corrected Mole Argon/10^6 Mole H2O</v>
          </cell>
          <cell r="AM4" t="str">
            <v>PPMw Argon             (O2 Corr.)</v>
          </cell>
          <cell r="AN4" t="str">
            <v>Area Counts Oxygen</v>
          </cell>
          <cell r="AO4" t="str">
            <v>Sol. Frac Oxygen</v>
          </cell>
          <cell r="AP4" t="str">
            <v>Oxygen Moles in Injection</v>
          </cell>
          <cell r="AQ4" t="str">
            <v>Total Moles Oxygen in Bomb</v>
          </cell>
          <cell r="AR4" t="str">
            <v>Micro Grams Oxygen in Bomb</v>
          </cell>
          <cell r="AS4" t="str">
            <v>Mole % Oxygen</v>
          </cell>
          <cell r="AT4" t="str">
            <v>Mole Oxygen/10^6 Mole H2O</v>
          </cell>
          <cell r="AU4" t="str">
            <v>PPMw Oxygen</v>
          </cell>
          <cell r="AV4" t="str">
            <v>Area Counts Nitrogen</v>
          </cell>
          <cell r="AW4" t="str">
            <v>Sol. Frac Nitrogen</v>
          </cell>
          <cell r="AX4" t="str">
            <v>Nitrogen Moles in Injection</v>
          </cell>
          <cell r="AY4" t="str">
            <v>Total Moles Nitrogen in Bomb</v>
          </cell>
          <cell r="AZ4" t="str">
            <v>Total Moles Nitrogen in Bomb          (O2 Corr.)</v>
          </cell>
          <cell r="BA4" t="str">
            <v>Micro Grams Nitrogen in Bomb</v>
          </cell>
          <cell r="BB4" t="str">
            <v>Micro Grams Nitrogen in Bomb          (O2 Corr.)</v>
          </cell>
          <cell r="BC4" t="str">
            <v>Mole % Nitrogen</v>
          </cell>
          <cell r="BD4" t="str">
            <v>Mole Nitrogen/10^6 Mole H2O</v>
          </cell>
          <cell r="BE4" t="str">
            <v>PPMw Nitrogen</v>
          </cell>
          <cell r="BF4" t="str">
            <v>Air Corrected Mole % Nitrogen</v>
          </cell>
          <cell r="BG4" t="str">
            <v>Air Corrected Mole Nitrogen/10^6 Mole H2O</v>
          </cell>
          <cell r="BH4" t="str">
            <v>PPMw Nitrogen         (O2 Corr.)</v>
          </cell>
          <cell r="BI4" t="str">
            <v>Area Counts Methane</v>
          </cell>
          <cell r="BJ4" t="str">
            <v>Sol. Frac Methane</v>
          </cell>
          <cell r="BK4" t="str">
            <v>Methane Moles in Injection</v>
          </cell>
          <cell r="BL4" t="str">
            <v>Total Moles Methane in Bomb</v>
          </cell>
          <cell r="BM4" t="str">
            <v>Micro Grams Methane in Bomb</v>
          </cell>
          <cell r="BN4" t="str">
            <v>Mole % Methane</v>
          </cell>
          <cell r="BO4" t="str">
            <v>Mole Methane/10^6 Mole H2O</v>
          </cell>
          <cell r="BP4" t="str">
            <v>PPMw Methane</v>
          </cell>
          <cell r="BQ4" t="str">
            <v>Area Counts Hydrogen</v>
          </cell>
          <cell r="BR4" t="str">
            <v>Sol. Frac Hydrogen</v>
          </cell>
          <cell r="BS4" t="str">
            <v>Hydrogen Moles in Injection</v>
          </cell>
          <cell r="BT4" t="str">
            <v>Total Moles Hydrogen in Bomb</v>
          </cell>
          <cell r="BU4" t="str">
            <v>Micro Grams Hydrogen in Bomb</v>
          </cell>
          <cell r="BV4" t="str">
            <v>Mole % Hydrogen</v>
          </cell>
          <cell r="BW4" t="str">
            <v>Mole Hydrogen/10^6 Mole H2O</v>
          </cell>
          <cell r="BX4" t="str">
            <v>PPMw Hydrogen</v>
          </cell>
        </row>
        <row r="5">
          <cell r="A5" t="str">
            <v>2275ri-1</v>
          </cell>
          <cell r="B5">
            <v>1350.01</v>
          </cell>
          <cell r="C5" t="str">
            <v>BOMBVOL.XLS!b86</v>
          </cell>
          <cell r="D5" t="str">
            <v>b86</v>
          </cell>
          <cell r="E5">
            <v>379.3</v>
          </cell>
          <cell r="F5">
            <v>531.1</v>
          </cell>
          <cell r="G5">
            <v>525.5</v>
          </cell>
          <cell r="H5">
            <v>1088.5</v>
          </cell>
          <cell r="I5">
            <v>1.33</v>
          </cell>
          <cell r="J5">
            <v>45.28939149136077</v>
          </cell>
          <cell r="K5">
            <v>108.89113884508367</v>
          </cell>
          <cell r="L5">
            <v>563</v>
          </cell>
          <cell r="N5">
            <v>1.0709402546531304</v>
          </cell>
          <cell r="O5" t="e">
            <v>#DIV/0!</v>
          </cell>
          <cell r="P5">
            <v>662.2218157535825</v>
          </cell>
          <cell r="Q5">
            <v>687.7881842464175</v>
          </cell>
          <cell r="R5">
            <v>26.6</v>
          </cell>
          <cell r="S5">
            <v>5</v>
          </cell>
          <cell r="T5">
            <v>22.4</v>
          </cell>
          <cell r="U5">
            <v>27.12365540474444</v>
          </cell>
          <cell r="V5">
            <v>0.05233304983433397</v>
          </cell>
          <cell r="W5">
            <v>5</v>
          </cell>
          <cell r="X5">
            <v>26.6</v>
          </cell>
          <cell r="Y5">
            <v>26.8</v>
          </cell>
          <cell r="Z5">
            <v>0.00036762653810650545</v>
          </cell>
          <cell r="AA5">
            <v>164019</v>
          </cell>
          <cell r="AB5">
            <v>0</v>
          </cell>
          <cell r="AC5">
            <v>2.8851815337230345E-08</v>
          </cell>
          <cell r="AD5">
            <v>4.107166739461125E-06</v>
          </cell>
          <cell r="AE5">
            <v>1.6515467605425204E-06</v>
          </cell>
          <cell r="AF5">
            <v>164.073096907993</v>
          </cell>
          <cell r="AG5">
            <v>65.9759899901526</v>
          </cell>
          <cell r="AH5">
            <v>0.003581276717927864</v>
          </cell>
          <cell r="AI5">
            <v>0.132544482316839</v>
          </cell>
          <cell r="AJ5">
            <v>0.29142645987210125</v>
          </cell>
          <cell r="AK5">
            <v>0.0014433871777588224</v>
          </cell>
          <cell r="AL5">
            <v>0.05329791174411433</v>
          </cell>
          <cell r="AM5">
            <v>0.11718648310861918</v>
          </cell>
          <cell r="AN5">
            <v>1457528</v>
          </cell>
          <cell r="AO5">
            <v>0.029000765011055734</v>
          </cell>
          <cell r="AP5">
            <v>3.7564134168977163E-07</v>
          </cell>
          <cell r="AQ5">
            <v>5.507109170034996E-05</v>
          </cell>
          <cell r="AR5">
            <v>1762.2088491011582</v>
          </cell>
          <cell r="AS5">
            <v>0.04801967659175442</v>
          </cell>
          <cell r="AT5">
            <v>1.7772274180920542</v>
          </cell>
          <cell r="AU5">
            <v>3.1300334797533895</v>
          </cell>
          <cell r="AV5">
            <v>1293413</v>
          </cell>
          <cell r="AW5">
            <v>0.01465765195351156</v>
          </cell>
          <cell r="AX5">
            <v>6.2509767756834074E-06</v>
          </cell>
          <cell r="AY5">
            <v>0.0009030877006023285</v>
          </cell>
          <cell r="AZ5">
            <v>0.000697789829985345</v>
          </cell>
          <cell r="BA5">
            <v>25298.556992053273</v>
          </cell>
          <cell r="BB5">
            <v>19547.465623311466</v>
          </cell>
          <cell r="BC5">
            <v>0.7874545061295632</v>
          </cell>
          <cell r="BD5">
            <v>29.14400591848022</v>
          </cell>
          <cell r="BE5">
            <v>44.935269968123045</v>
          </cell>
          <cell r="BF5">
            <v>0.6098409790350136</v>
          </cell>
          <cell r="BG5">
            <v>22.518733143397398</v>
          </cell>
          <cell r="BH5">
            <v>34.72018760801326</v>
          </cell>
          <cell r="BI5">
            <v>34523</v>
          </cell>
          <cell r="BJ5">
            <v>0.030867222760594663</v>
          </cell>
          <cell r="BK5">
            <v>2.2113945189408542E-07</v>
          </cell>
          <cell r="BL5">
            <v>3.248270119638103E-05</v>
          </cell>
          <cell r="BM5">
            <v>521.3408576616763</v>
          </cell>
          <cell r="BN5">
            <v>0.028388608500812984</v>
          </cell>
          <cell r="BO5">
            <v>1.0482658940921825</v>
          </cell>
          <cell r="BP5">
            <v>0.926005075775624</v>
          </cell>
          <cell r="BQ5">
            <v>1378133</v>
          </cell>
          <cell r="BR5">
            <v>0.01721238871572338</v>
          </cell>
          <cell r="BS5">
            <v>1.0765305894575992E-05</v>
          </cell>
          <cell r="BT5">
            <v>0.0015593223077081067</v>
          </cell>
          <cell r="BU5">
            <v>3143.2819078780017</v>
          </cell>
          <cell r="BV5">
            <v>1.3627866184060322</v>
          </cell>
          <cell r="BW5">
            <v>50.321689171885644</v>
          </cell>
          <cell r="BX5">
            <v>5.583093974916522</v>
          </cell>
        </row>
        <row r="6">
          <cell r="A6" t="str">
            <v>2275ri-2</v>
          </cell>
          <cell r="B6">
            <v>1449.02</v>
          </cell>
          <cell r="C6" t="str">
            <v>BOMBVOL.XLS!b201</v>
          </cell>
          <cell r="D6" t="str">
            <v>b201</v>
          </cell>
          <cell r="E6">
            <v>420.7</v>
          </cell>
          <cell r="F6">
            <v>574.1</v>
          </cell>
          <cell r="G6">
            <v>568.9</v>
          </cell>
          <cell r="H6">
            <v>936</v>
          </cell>
          <cell r="I6">
            <v>1.33</v>
          </cell>
          <cell r="J6">
            <v>45.766750031454166</v>
          </cell>
          <cell r="K6">
            <v>110.46797363781205</v>
          </cell>
          <cell r="L6">
            <v>367.1</v>
          </cell>
          <cell r="N6">
            <v>1.0985111179895206</v>
          </cell>
          <cell r="O6" t="e">
            <v>#DIV/0!</v>
          </cell>
          <cell r="P6">
            <v>469.08947170520645</v>
          </cell>
          <cell r="Q6">
            <v>979.9305282947935</v>
          </cell>
          <cell r="R6">
            <v>26.57</v>
          </cell>
          <cell r="S6">
            <v>5</v>
          </cell>
          <cell r="T6">
            <v>22.4</v>
          </cell>
          <cell r="U6">
            <v>26.937125821282482</v>
          </cell>
          <cell r="V6">
            <v>0.07404907856279092</v>
          </cell>
          <cell r="W6">
            <v>5</v>
          </cell>
          <cell r="X6">
            <v>26.57</v>
          </cell>
          <cell r="Y6">
            <v>26.8</v>
          </cell>
          <cell r="Z6">
            <v>0.0003672119217101447</v>
          </cell>
          <cell r="AA6">
            <v>91051</v>
          </cell>
          <cell r="AB6">
            <v>0</v>
          </cell>
          <cell r="AC6">
            <v>1.573254867789003E-08</v>
          </cell>
          <cell r="AD6">
            <v>3.172502481990707E-06</v>
          </cell>
          <cell r="AE6">
            <v>1.288425897389128E-06</v>
          </cell>
          <cell r="AF6">
            <v>126.73512915056476</v>
          </cell>
          <cell r="AG6">
            <v>51.470037748900886</v>
          </cell>
          <cell r="AH6">
            <v>0.005344051219838748</v>
          </cell>
          <cell r="AI6">
            <v>0.15672553858310806</v>
          </cell>
          <cell r="AJ6">
            <v>0.3452332583780026</v>
          </cell>
          <cell r="AK6">
            <v>0.002177738939267699</v>
          </cell>
          <cell r="AL6">
            <v>0.06364982969722605</v>
          </cell>
          <cell r="AM6">
            <v>0.1402071308877714</v>
          </cell>
          <cell r="AN6">
            <v>787447</v>
          </cell>
          <cell r="AO6">
            <v>0.014631898858160719</v>
          </cell>
          <cell r="AP6">
            <v>2.064698738379917E-07</v>
          </cell>
          <cell r="AQ6">
            <v>4.225334345372458E-05</v>
          </cell>
          <cell r="AR6">
            <v>1352.056286507042</v>
          </cell>
          <cell r="AS6">
            <v>0.07117536799670306</v>
          </cell>
          <cell r="AT6">
            <v>2.0873673219529496</v>
          </cell>
          <cell r="AU6">
            <v>3.683073512686031</v>
          </cell>
          <cell r="AV6">
            <v>611858</v>
          </cell>
          <cell r="AW6">
            <v>0.007341566188532895</v>
          </cell>
          <cell r="AX6">
            <v>2.7048996564411197E-06</v>
          </cell>
          <cell r="AY6">
            <v>0.0005494829337397381</v>
          </cell>
          <cell r="AZ6">
            <v>0.00039196796227890186</v>
          </cell>
          <cell r="BA6">
            <v>15392.88521602478</v>
          </cell>
          <cell r="BB6">
            <v>10980.35531450379</v>
          </cell>
          <cell r="BC6">
            <v>0.9255989424757912</v>
          </cell>
          <cell r="BD6">
            <v>27.14513518002001</v>
          </cell>
          <cell r="BE6">
            <v>41.931041176858564</v>
          </cell>
          <cell r="BF6">
            <v>0.6625168712689833</v>
          </cell>
          <cell r="BG6">
            <v>19.363701161531267</v>
          </cell>
          <cell r="BH6">
            <v>29.911074133761343</v>
          </cell>
          <cell r="BI6">
            <v>13342</v>
          </cell>
          <cell r="BJ6">
            <v>0.015588438169555451</v>
          </cell>
          <cell r="BK6">
            <v>8.070358645602122E-08</v>
          </cell>
          <cell r="BL6">
            <v>1.6531757103618657E-05</v>
          </cell>
          <cell r="BM6">
            <v>265.33139516165875</v>
          </cell>
          <cell r="BN6">
            <v>0.027942508181510516</v>
          </cell>
          <cell r="BO6">
            <v>0.8166892068635886</v>
          </cell>
          <cell r="BP6">
            <v>0.7227768868473405</v>
          </cell>
          <cell r="BQ6">
            <v>649529</v>
          </cell>
          <cell r="BR6">
            <v>0.008632326345016341</v>
          </cell>
          <cell r="BS6">
            <v>5.3549730387145055E-06</v>
          </cell>
          <cell r="BT6">
            <v>0.0010892446149950768</v>
          </cell>
          <cell r="BU6">
            <v>2195.699294907076</v>
          </cell>
          <cell r="BV6">
            <v>1.8410763220991184</v>
          </cell>
          <cell r="BW6">
            <v>53.81002848790006</v>
          </cell>
          <cell r="BX6">
            <v>5.981202110888248</v>
          </cell>
        </row>
        <row r="7">
          <cell r="A7" t="str">
            <v>2275ri-3</v>
          </cell>
          <cell r="B7">
            <v>1333.8</v>
          </cell>
          <cell r="C7" t="str">
            <v>BOMBVOL.XLS!b24</v>
          </cell>
          <cell r="D7" t="str">
            <v>b24</v>
          </cell>
          <cell r="E7">
            <v>385.9</v>
          </cell>
          <cell r="F7">
            <v>533.9</v>
          </cell>
          <cell r="G7">
            <v>528.4</v>
          </cell>
          <cell r="H7">
            <v>1143.5</v>
          </cell>
          <cell r="I7">
            <v>1.33</v>
          </cell>
          <cell r="J7">
            <v>44.15566495863895</v>
          </cell>
          <cell r="K7">
            <v>106.12771537706202</v>
          </cell>
          <cell r="L7">
            <v>615.1</v>
          </cell>
          <cell r="N7">
            <v>1.0647797444561773</v>
          </cell>
          <cell r="O7" t="e">
            <v>#DIV/0!</v>
          </cell>
          <cell r="P7">
            <v>711.5086513849252</v>
          </cell>
          <cell r="Q7">
            <v>622.2913486150748</v>
          </cell>
          <cell r="R7">
            <v>26.49</v>
          </cell>
          <cell r="S7">
            <v>5</v>
          </cell>
          <cell r="T7">
            <v>22.2</v>
          </cell>
          <cell r="U7">
            <v>27.06637728822398</v>
          </cell>
          <cell r="V7">
            <v>0.047281473132324475</v>
          </cell>
          <cell r="W7">
            <v>5</v>
          </cell>
          <cell r="X7">
            <v>26.49</v>
          </cell>
          <cell r="Y7">
            <v>26.8</v>
          </cell>
          <cell r="Z7">
            <v>0.00036610627798651607</v>
          </cell>
          <cell r="AA7">
            <v>222594</v>
          </cell>
          <cell r="AB7">
            <v>0</v>
          </cell>
          <cell r="AC7">
            <v>4.056282870380978E-08</v>
          </cell>
          <cell r="AD7">
            <v>5.238561616801607E-06</v>
          </cell>
          <cell r="AE7">
            <v>3.0241146435405953E-06</v>
          </cell>
          <cell r="AF7">
            <v>209.2700594679906</v>
          </cell>
          <cell r="AG7">
            <v>120.8073317801597</v>
          </cell>
          <cell r="AH7">
            <v>0.015188432842415847</v>
          </cell>
          <cell r="AI7">
            <v>0.15374052362058047</v>
          </cell>
          <cell r="AJ7">
            <v>0.3402211989399945</v>
          </cell>
          <cell r="AK7">
            <v>0.008828640838558001</v>
          </cell>
          <cell r="AL7">
            <v>0.0887512647165268</v>
          </cell>
          <cell r="AM7">
            <v>0.19640275041482635</v>
          </cell>
          <cell r="AN7">
            <v>1440117</v>
          </cell>
          <cell r="AO7">
            <v>0.03425246442373203</v>
          </cell>
          <cell r="AP7">
            <v>3.7137066763076496E-07</v>
          </cell>
          <cell r="AQ7">
            <v>4.966241249744364E-05</v>
          </cell>
          <cell r="AR7">
            <v>1589.1376050231995</v>
          </cell>
          <cell r="AS7">
            <v>0.14398880306963135</v>
          </cell>
          <cell r="AT7">
            <v>1.4574850617639301</v>
          </cell>
          <cell r="AU7">
            <v>2.5835434970300755</v>
          </cell>
          <cell r="AV7">
            <v>923445</v>
          </cell>
          <cell r="AW7">
            <v>0.017358414129811532</v>
          </cell>
          <cell r="AX7">
            <v>4.323617581471633E-06</v>
          </cell>
          <cell r="AY7">
            <v>0.0005682454375583653</v>
          </cell>
          <cell r="AZ7">
            <v>0.00038311041988152005</v>
          </cell>
          <cell r="BA7">
            <v>15918.48674049751</v>
          </cell>
          <cell r="BB7">
            <v>10732.225436308974</v>
          </cell>
          <cell r="BC7">
            <v>1.6475434093746386</v>
          </cell>
          <cell r="BD7">
            <v>16.676782198195816</v>
          </cell>
          <cell r="BE7">
            <v>25.879510226788344</v>
          </cell>
          <cell r="BF7">
            <v>1.118457696657652</v>
          </cell>
          <cell r="BG7">
            <v>11.243467360997913</v>
          </cell>
          <cell r="BH7">
            <v>17.44793600440412</v>
          </cell>
          <cell r="BI7">
            <v>26338</v>
          </cell>
          <cell r="BJ7">
            <v>0.03644423002806361</v>
          </cell>
          <cell r="BK7">
            <v>1.6687064689854435E-07</v>
          </cell>
          <cell r="BL7">
            <v>2.2365927674977814E-05</v>
          </cell>
          <cell r="BM7">
            <v>358.968665997859</v>
          </cell>
          <cell r="BN7">
            <v>0.06529538914317057</v>
          </cell>
          <cell r="BO7">
            <v>0.6563919036444434</v>
          </cell>
          <cell r="BP7">
            <v>0.5835939944689628</v>
          </cell>
          <cell r="BQ7">
            <v>1275243</v>
          </cell>
          <cell r="BR7">
            <v>0.02037414348827813</v>
          </cell>
          <cell r="BS7">
            <v>1.0010402109895219E-05</v>
          </cell>
          <cell r="BT7">
            <v>0.001319699665525778</v>
          </cell>
          <cell r="BU7">
            <v>2660.250585766864</v>
          </cell>
          <cell r="BV7">
            <v>3.852748898451546</v>
          </cell>
          <cell r="BW7">
            <v>38.730348603537635</v>
          </cell>
          <cell r="BX7">
            <v>4.324907471576758</v>
          </cell>
        </row>
        <row r="8">
          <cell r="A8" t="str">
            <v>2275ri-4</v>
          </cell>
          <cell r="B8">
            <v>1340.7</v>
          </cell>
          <cell r="C8" t="str">
            <v>BOMBVOL.XLS!f11</v>
          </cell>
          <cell r="D8" t="str">
            <v>f11</v>
          </cell>
          <cell r="E8">
            <v>369.9</v>
          </cell>
          <cell r="F8">
            <v>519.3</v>
          </cell>
          <cell r="G8">
            <v>515.3</v>
          </cell>
          <cell r="H8">
            <v>1041.4</v>
          </cell>
          <cell r="I8">
            <v>1.33</v>
          </cell>
          <cell r="J8">
            <v>44.57335368122067</v>
          </cell>
          <cell r="K8">
            <v>108.58300867562477</v>
          </cell>
          <cell r="L8">
            <v>526.1000000000001</v>
          </cell>
          <cell r="N8">
            <v>1.0737231524944155</v>
          </cell>
          <cell r="O8" t="e">
            <v>#DIV/0!</v>
          </cell>
          <cell r="P8">
            <v>625.3939839520156</v>
          </cell>
          <cell r="Q8">
            <v>715.3060160479845</v>
          </cell>
          <cell r="R8">
            <v>26.43</v>
          </cell>
          <cell r="S8">
            <v>5</v>
          </cell>
          <cell r="T8">
            <v>22.2</v>
          </cell>
          <cell r="U8">
            <v>26.930292451022794</v>
          </cell>
          <cell r="V8">
            <v>0.05407543877232156</v>
          </cell>
          <cell r="W8">
            <v>5</v>
          </cell>
          <cell r="X8">
            <v>26.43</v>
          </cell>
          <cell r="Y8">
            <v>26.6</v>
          </cell>
          <cell r="Z8">
            <v>0.0003655207663248664</v>
          </cell>
          <cell r="AA8">
            <v>196660</v>
          </cell>
          <cell r="AB8">
            <v>0</v>
          </cell>
          <cell r="AC8">
            <v>3.524820628577619E-08</v>
          </cell>
          <cell r="AD8">
            <v>5.21464824011281E-06</v>
          </cell>
          <cell r="AE8">
            <v>1.5315712821183691E-06</v>
          </cell>
          <cell r="AF8">
            <v>208.31476789602655</v>
          </cell>
          <cell r="AG8">
            <v>61.183209578064606</v>
          </cell>
          <cell r="AH8">
            <v>0.007467203787232369</v>
          </cell>
          <cell r="AI8">
            <v>0.17952888818692903</v>
          </cell>
          <cell r="AJ8">
            <v>0.39596040276758504</v>
          </cell>
          <cell r="AK8">
            <v>0.0022056096405416053</v>
          </cell>
          <cell r="AL8">
            <v>0.05272863610293912</v>
          </cell>
          <cell r="AM8">
            <v>0.11629577946790456</v>
          </cell>
          <cell r="AN8">
            <v>2165202</v>
          </cell>
          <cell r="AO8">
            <v>0.026404750084090923</v>
          </cell>
          <cell r="AP8">
            <v>5.435803777006187E-07</v>
          </cell>
          <cell r="AQ8">
            <v>8.25987207444369E-05</v>
          </cell>
          <cell r="AR8">
            <v>2643.0599453570876</v>
          </cell>
          <cell r="AS8">
            <v>0.1182786358663504</v>
          </cell>
          <cell r="AT8">
            <v>2.8436925786945486</v>
          </cell>
          <cell r="AU8">
            <v>5.023873684389065</v>
          </cell>
          <cell r="AV8">
            <v>1128666</v>
          </cell>
          <cell r="AW8">
            <v>0.013327943227785657</v>
          </cell>
          <cell r="AX8">
            <v>5.392005405958504E-06</v>
          </cell>
          <cell r="AY8">
            <v>0.000808472936505055</v>
          </cell>
          <cell r="AZ8">
            <v>0.000500555643403491</v>
          </cell>
          <cell r="BA8">
            <v>22648.07575949071</v>
          </cell>
          <cell r="BB8">
            <v>14022.265460919356</v>
          </cell>
          <cell r="BC8">
            <v>1.1577065020237722</v>
          </cell>
          <cell r="BD8">
            <v>27.833947897669557</v>
          </cell>
          <cell r="BE8">
            <v>43.04899403058488</v>
          </cell>
          <cell r="BF8">
            <v>0.7208481678967128</v>
          </cell>
          <cell r="BG8">
            <v>17.233031644331508</v>
          </cell>
          <cell r="BH8">
            <v>26.65323220094916</v>
          </cell>
          <cell r="BI8">
            <v>20444</v>
          </cell>
          <cell r="BJ8">
            <v>0.028108967750756022</v>
          </cell>
          <cell r="BK8">
            <v>1.2779180308135205E-07</v>
          </cell>
          <cell r="BL8">
            <v>1.945241021609049E-05</v>
          </cell>
          <cell r="BM8">
            <v>312.2072934862092</v>
          </cell>
          <cell r="BN8">
            <v>0.02801333767830682</v>
          </cell>
          <cell r="BO8">
            <v>0.6697037686621095</v>
          </cell>
          <cell r="BP8">
            <v>0.5934371668622108</v>
          </cell>
          <cell r="BQ8">
            <v>1120495</v>
          </cell>
          <cell r="BR8">
            <v>0.015654602182186644</v>
          </cell>
          <cell r="BS8">
            <v>8.869369825835513E-06</v>
          </cell>
          <cell r="BT8">
            <v>0.0013330095025615104</v>
          </cell>
          <cell r="BU8">
            <v>2687.080555263493</v>
          </cell>
          <cell r="BV8">
            <v>1.9196616207876955</v>
          </cell>
          <cell r="BW8">
            <v>45.89259004981363</v>
          </cell>
          <cell r="BX8">
            <v>5.107547149331861</v>
          </cell>
        </row>
        <row r="9">
          <cell r="A9" t="str">
            <v>2275ri-5a</v>
          </cell>
          <cell r="B9">
            <v>1360.03</v>
          </cell>
          <cell r="C9" t="str">
            <v>BOMBVOL.XLS!b124</v>
          </cell>
          <cell r="D9" t="str">
            <v>b124</v>
          </cell>
          <cell r="E9">
            <v>368.8</v>
          </cell>
          <cell r="F9">
            <v>518.8</v>
          </cell>
          <cell r="G9">
            <v>508.2</v>
          </cell>
          <cell r="H9">
            <v>1055</v>
          </cell>
          <cell r="I9">
            <v>1.33</v>
          </cell>
          <cell r="J9">
            <v>44.75236313375568</v>
          </cell>
          <cell r="K9">
            <v>102.87339432585578</v>
          </cell>
          <cell r="L9">
            <v>546.8</v>
          </cell>
          <cell r="N9">
            <v>1.0724403698630136</v>
          </cell>
          <cell r="O9" t="e">
            <v>#DIV/0!</v>
          </cell>
          <cell r="P9">
            <v>639.8490949083264</v>
          </cell>
          <cell r="Q9">
            <v>720.1809050916736</v>
          </cell>
          <cell r="R9">
            <v>26.45</v>
          </cell>
          <cell r="S9">
            <v>5</v>
          </cell>
          <cell r="T9">
            <v>22.2</v>
          </cell>
          <cell r="U9">
            <v>26.947281998825574</v>
          </cell>
          <cell r="V9">
            <v>0.054478315961081644</v>
          </cell>
          <cell r="W9">
            <v>5</v>
          </cell>
          <cell r="X9">
            <v>26.45</v>
          </cell>
          <cell r="Y9">
            <v>26.6</v>
          </cell>
          <cell r="Z9">
            <v>0.0003657973616834172</v>
          </cell>
          <cell r="AA9">
            <v>176240</v>
          </cell>
          <cell r="AB9">
            <v>0</v>
          </cell>
          <cell r="AC9">
            <v>3.120846260909914E-08</v>
          </cell>
          <cell r="AD9">
            <v>4.647886137980258E-06</v>
          </cell>
          <cell r="AE9">
            <v>1.9064104417745212E-06</v>
          </cell>
          <cell r="AF9">
            <v>185.67375544003534</v>
          </cell>
          <cell r="AG9">
            <v>76.15728432800857</v>
          </cell>
          <cell r="AH9">
            <v>0.005949839939676721</v>
          </cell>
          <cell r="AI9">
            <v>0.15402146769590647</v>
          </cell>
          <cell r="AJ9">
            <v>0.33956429305054014</v>
          </cell>
          <cell r="AK9">
            <v>0.002449630282922678</v>
          </cell>
          <cell r="AL9">
            <v>0.06317455409966422</v>
          </cell>
          <cell r="AM9">
            <v>0.13927813520118615</v>
          </cell>
          <cell r="AN9">
            <v>1564570</v>
          </cell>
          <cell r="AO9">
            <v>0.02682073037669722</v>
          </cell>
          <cell r="AP9">
            <v>4.017507272100223E-07</v>
          </cell>
          <cell r="AQ9">
            <v>6.148185010553346E-05</v>
          </cell>
          <cell r="AR9">
            <v>1967.345425156944</v>
          </cell>
          <cell r="AS9">
            <v>0.07870398638510584</v>
          </cell>
          <cell r="AT9">
            <v>2.0373831261772204</v>
          </cell>
          <cell r="AU9">
            <v>3.597925064295801</v>
          </cell>
          <cell r="AV9">
            <v>1214934</v>
          </cell>
          <cell r="AW9">
            <v>0.013540776791736158</v>
          </cell>
          <cell r="AX9">
            <v>5.841652972687843E-06</v>
          </cell>
          <cell r="AY9">
            <v>0.0008819413833187633</v>
          </cell>
          <cell r="AZ9">
            <v>0.0006527450387658483</v>
          </cell>
          <cell r="BA9">
            <v>24706.176747461843</v>
          </cell>
          <cell r="BB9">
            <v>18285.607868963216</v>
          </cell>
          <cell r="BC9">
            <v>1.1289885145947187</v>
          </cell>
          <cell r="BD9">
            <v>29.225738808554894</v>
          </cell>
          <cell r="BE9">
            <v>45.18320546353666</v>
          </cell>
          <cell r="BF9">
            <v>0.8387406924292736</v>
          </cell>
          <cell r="BG9">
            <v>21.630639373972624</v>
          </cell>
          <cell r="BH9">
            <v>33.44112631485592</v>
          </cell>
          <cell r="BI9">
            <v>119237</v>
          </cell>
          <cell r="BJ9">
            <v>0.02855100894585847</v>
          </cell>
          <cell r="BK9">
            <v>7.828166108913079E-07</v>
          </cell>
          <cell r="BL9">
            <v>0.00012001157527774585</v>
          </cell>
          <cell r="BM9">
            <v>1926.1617808927654</v>
          </cell>
          <cell r="BN9">
            <v>0.1542081299281886</v>
          </cell>
          <cell r="BO9">
            <v>3.976938852639056</v>
          </cell>
          <cell r="BP9">
            <v>3.522607499803887</v>
          </cell>
          <cell r="BQ9">
            <v>1160807</v>
          </cell>
          <cell r="BR9">
            <v>0.015903991215467938</v>
          </cell>
          <cell r="BS9">
            <v>9.167263147083128E-06</v>
          </cell>
          <cell r="BT9">
            <v>0.001387347746012609</v>
          </cell>
          <cell r="BU9">
            <v>2796.6155864122175</v>
          </cell>
          <cell r="BV9">
            <v>1.7826638886921073</v>
          </cell>
          <cell r="BW9">
            <v>45.97387494056063</v>
          </cell>
          <cell r="BX9">
            <v>5.114512776906031</v>
          </cell>
        </row>
        <row r="10">
          <cell r="A10" t="str">
            <v>2275ri-5b</v>
          </cell>
          <cell r="B10">
            <v>1360.03</v>
          </cell>
          <cell r="C10" t="str">
            <v>BOMBVOL.XLS!b124</v>
          </cell>
          <cell r="D10" t="str">
            <v>b124</v>
          </cell>
          <cell r="E10">
            <v>368.8</v>
          </cell>
          <cell r="F10">
            <v>518.8</v>
          </cell>
          <cell r="G10">
            <v>508.2</v>
          </cell>
          <cell r="H10">
            <v>1055</v>
          </cell>
          <cell r="I10">
            <v>1.33</v>
          </cell>
          <cell r="J10">
            <v>44.75236313375568</v>
          </cell>
          <cell r="K10">
            <v>102.87339432585578</v>
          </cell>
          <cell r="L10">
            <v>546.8</v>
          </cell>
          <cell r="N10">
            <v>1.0724403698630136</v>
          </cell>
          <cell r="O10" t="e">
            <v>#DIV/0!</v>
          </cell>
          <cell r="P10">
            <v>639.8490949083264</v>
          </cell>
          <cell r="Q10">
            <v>720.1809050916736</v>
          </cell>
          <cell r="R10">
            <v>26.45</v>
          </cell>
          <cell r="S10">
            <v>5</v>
          </cell>
          <cell r="T10">
            <v>22.2</v>
          </cell>
          <cell r="U10">
            <v>26.947281998825574</v>
          </cell>
          <cell r="V10">
            <v>0.054478315961081644</v>
          </cell>
          <cell r="W10">
            <v>5</v>
          </cell>
          <cell r="X10">
            <v>25.84</v>
          </cell>
          <cell r="Y10">
            <v>27.6</v>
          </cell>
          <cell r="Z10">
            <v>0.0003561729698203609</v>
          </cell>
          <cell r="AA10">
            <v>174740</v>
          </cell>
          <cell r="AB10">
            <v>0</v>
          </cell>
          <cell r="AC10">
            <v>3.091674696904755E-08</v>
          </cell>
          <cell r="AD10">
            <v>4.728860560974276E-06</v>
          </cell>
          <cell r="AE10">
            <v>2.009681611125895E-06</v>
          </cell>
          <cell r="AF10">
            <v>188.90852168980038</v>
          </cell>
          <cell r="AG10">
            <v>80.28276100125726</v>
          </cell>
          <cell r="AH10">
            <v>0.006054133144568009</v>
          </cell>
          <cell r="AI10">
            <v>0.15670487153318516</v>
          </cell>
          <cell r="AJ10">
            <v>0.3454801055043899</v>
          </cell>
          <cell r="AK10">
            <v>0.0025825212506598266</v>
          </cell>
          <cell r="AL10">
            <v>0.06659678259348047</v>
          </cell>
          <cell r="AM10">
            <v>0.1468228986855473</v>
          </cell>
          <cell r="AN10">
            <v>1508062</v>
          </cell>
          <cell r="AO10">
            <v>0.02682073037669722</v>
          </cell>
          <cell r="AP10">
            <v>3.879988601159349E-07</v>
          </cell>
          <cell r="AQ10">
            <v>6.09818109407576E-05</v>
          </cell>
          <cell r="AR10">
            <v>1951.344771931114</v>
          </cell>
          <cell r="AS10">
            <v>0.07807208482293605</v>
          </cell>
          <cell r="AT10">
            <v>2.0208138358310093</v>
          </cell>
          <cell r="AU10">
            <v>3.5686627138462224</v>
          </cell>
          <cell r="AV10">
            <v>1198987</v>
          </cell>
          <cell r="AW10">
            <v>0.013540776791736158</v>
          </cell>
          <cell r="AX10">
            <v>5.758509960112271E-06</v>
          </cell>
          <cell r="AY10">
            <v>0.0008928812461650522</v>
          </cell>
          <cell r="AZ10">
            <v>0.0006655489826133302</v>
          </cell>
          <cell r="BA10">
            <v>25012.639501320074</v>
          </cell>
          <cell r="BB10">
            <v>18644.289869540265</v>
          </cell>
          <cell r="BC10">
            <v>1.1431129924155181</v>
          </cell>
          <cell r="BD10">
            <v>29.588278015509438</v>
          </cell>
          <cell r="BE10">
            <v>45.74367136305793</v>
          </cell>
          <cell r="BF10">
            <v>0.85525706233189</v>
          </cell>
          <cell r="BG10">
            <v>22.05494674133009</v>
          </cell>
          <cell r="BH10">
            <v>34.09709193405316</v>
          </cell>
          <cell r="BI10">
            <v>116524</v>
          </cell>
          <cell r="BJ10">
            <v>0.02855100894585847</v>
          </cell>
          <cell r="BK10">
            <v>7.648286734505134E-07</v>
          </cell>
          <cell r="BL10">
            <v>0.00012042228853302962</v>
          </cell>
          <cell r="BM10">
            <v>1932.753646497419</v>
          </cell>
          <cell r="BN10">
            <v>0.15474745724294547</v>
          </cell>
          <cell r="BO10">
            <v>3.9905510029275777</v>
          </cell>
          <cell r="BP10">
            <v>3.5346628502147386</v>
          </cell>
          <cell r="BQ10">
            <v>1111420</v>
          </cell>
          <cell r="BR10">
            <v>0.015903991215467938</v>
          </cell>
          <cell r="BS10">
            <v>8.802244883714076E-06</v>
          </cell>
          <cell r="BT10">
            <v>0.0013681026777879477</v>
          </cell>
          <cell r="BU10">
            <v>2757.821377884945</v>
          </cell>
          <cell r="BV10">
            <v>1.7580666603664599</v>
          </cell>
          <cell r="BW10">
            <v>45.336154788796954</v>
          </cell>
          <cell r="BX10">
            <v>5.0435650656271855</v>
          </cell>
        </row>
        <row r="11">
          <cell r="A11" t="str">
            <v>2275ri-5</v>
          </cell>
          <cell r="B11">
            <v>1360.03</v>
          </cell>
          <cell r="C11" t="str">
            <v>BOMBVOL.XLS!b124</v>
          </cell>
          <cell r="D11" t="str">
            <v>b124</v>
          </cell>
          <cell r="E11">
            <v>368.8</v>
          </cell>
          <cell r="F11">
            <v>518.8</v>
          </cell>
          <cell r="G11">
            <v>508.2</v>
          </cell>
          <cell r="H11">
            <v>1055</v>
          </cell>
          <cell r="I11">
            <v>1.33</v>
          </cell>
          <cell r="J11">
            <v>44.75236313375568</v>
          </cell>
          <cell r="K11">
            <v>102.87339432585578</v>
          </cell>
          <cell r="L11">
            <v>546.8</v>
          </cell>
          <cell r="M11">
            <v>0</v>
          </cell>
          <cell r="N11">
            <v>1.0724403698630136</v>
          </cell>
          <cell r="O11" t="e">
            <v>#DIV/0!</v>
          </cell>
          <cell r="P11">
            <v>639.8490949083264</v>
          </cell>
          <cell r="Q11">
            <v>720.1809050916736</v>
          </cell>
          <cell r="U11" t="str">
            <v/>
          </cell>
          <cell r="V11" t="e">
            <v>#VALUE!</v>
          </cell>
          <cell r="Z11">
            <v>0</v>
          </cell>
          <cell r="AB11">
            <v>0</v>
          </cell>
          <cell r="AC11" t="str">
            <v>Low</v>
          </cell>
          <cell r="AD11">
            <v>4.688373349477266E-06</v>
          </cell>
          <cell r="AE11">
            <v>1.958046026450207E-06</v>
          </cell>
          <cell r="AF11">
            <v>187.29113856491784</v>
          </cell>
          <cell r="AG11">
            <v>78.22002266463288</v>
          </cell>
          <cell r="AH11">
            <v>0.006001979902674685</v>
          </cell>
          <cell r="AI11">
            <v>0.15536316988211876</v>
          </cell>
          <cell r="AJ11">
            <v>0.342522199277465</v>
          </cell>
          <cell r="AK11">
            <v>0.0025160716393994977</v>
          </cell>
          <cell r="AL11">
            <v>0.06488566817706808</v>
          </cell>
          <cell r="AM11">
            <v>0.14305051694336665</v>
          </cell>
          <cell r="AO11">
            <v>0.02682073037669722</v>
          </cell>
          <cell r="AP11" t="str">
            <v>Low</v>
          </cell>
          <cell r="AQ11">
            <v>6.123183052314553E-05</v>
          </cell>
          <cell r="AR11">
            <v>1959.3450985440293</v>
          </cell>
          <cell r="AS11">
            <v>0.07838800129790813</v>
          </cell>
          <cell r="AT11">
            <v>2.02909849080625</v>
          </cell>
          <cell r="AU11">
            <v>3.583293889071012</v>
          </cell>
          <cell r="AW11">
            <v>0.013540776791736158</v>
          </cell>
          <cell r="AX11" t="str">
            <v>Low</v>
          </cell>
          <cell r="AY11">
            <v>0.0008874113147419077</v>
          </cell>
          <cell r="AZ11">
            <v>0.0006591470106895892</v>
          </cell>
          <cell r="BA11">
            <v>24859.40812439096</v>
          </cell>
          <cell r="BB11">
            <v>18464.948869251737</v>
          </cell>
          <cell r="BC11">
            <v>1.1360496443997792</v>
          </cell>
          <cell r="BD11">
            <v>29.407008480443096</v>
          </cell>
          <cell r="BE11">
            <v>45.4634384132973</v>
          </cell>
          <cell r="BF11">
            <v>0.8469980160771299</v>
          </cell>
          <cell r="BG11">
            <v>21.8427930895212</v>
          </cell>
          <cell r="BH11">
            <v>33.76910912445453</v>
          </cell>
          <cell r="BJ11">
            <v>0.02855100894585847</v>
          </cell>
          <cell r="BK11" t="str">
            <v>Low</v>
          </cell>
          <cell r="BL11">
            <v>0.00012021693190538774</v>
          </cell>
          <cell r="BM11">
            <v>1929.4577136950923</v>
          </cell>
          <cell r="BN11">
            <v>0.1544776827800777</v>
          </cell>
          <cell r="BO11">
            <v>3.98374494138917</v>
          </cell>
          <cell r="BP11">
            <v>3.5286351750093132</v>
          </cell>
          <cell r="BR11">
            <v>0.015903991215467938</v>
          </cell>
          <cell r="BS11" t="str">
            <v>Low</v>
          </cell>
          <cell r="BT11">
            <v>0.0013777252119002784</v>
          </cell>
          <cell r="BU11">
            <v>2777.218482148581</v>
          </cell>
          <cell r="BV11">
            <v>1.7703645806694246</v>
          </cell>
          <cell r="BW11">
            <v>45.65501511760074</v>
          </cell>
          <cell r="BX11">
            <v>5.0790389212666085</v>
          </cell>
        </row>
        <row r="12">
          <cell r="A12" t="str">
            <v>2275ri-6</v>
          </cell>
          <cell r="B12">
            <v>1381.3</v>
          </cell>
          <cell r="C12" t="str">
            <v>BOMBVOL.XLS!b184</v>
          </cell>
          <cell r="D12" t="str">
            <v>b184</v>
          </cell>
          <cell r="E12">
            <v>414.4</v>
          </cell>
          <cell r="F12">
            <v>564</v>
          </cell>
          <cell r="G12">
            <v>560.7</v>
          </cell>
          <cell r="H12">
            <v>1125.8</v>
          </cell>
          <cell r="I12">
            <v>1.33</v>
          </cell>
          <cell r="J12">
            <v>44.633023498732356</v>
          </cell>
          <cell r="K12">
            <v>109.3885071755559</v>
          </cell>
          <cell r="L12">
            <v>565.0999999999999</v>
          </cell>
          <cell r="N12">
            <v>1.0697027554118639</v>
          </cell>
          <cell r="O12" t="e">
            <v>#DIV/0!</v>
          </cell>
          <cell r="P12">
            <v>665.044561585795</v>
          </cell>
          <cell r="Q12">
            <v>716.255438414205</v>
          </cell>
          <cell r="R12">
            <v>26.58</v>
          </cell>
          <cell r="S12">
            <v>5</v>
          </cell>
          <cell r="T12">
            <v>22</v>
          </cell>
          <cell r="U12">
            <v>27.08246487593421</v>
          </cell>
          <cell r="V12">
            <v>0.05449007596932625</v>
          </cell>
          <cell r="W12">
            <v>5</v>
          </cell>
          <cell r="X12">
            <v>26.58</v>
          </cell>
          <cell r="Y12">
            <v>26.2</v>
          </cell>
          <cell r="Z12">
            <v>0.0003680864227369991</v>
          </cell>
          <cell r="AA12">
            <v>197038</v>
          </cell>
          <cell r="AB12">
            <v>0</v>
          </cell>
          <cell r="AC12">
            <v>3.5324190538137965E-08</v>
          </cell>
          <cell r="AD12">
            <v>5.229255161506982E-06</v>
          </cell>
          <cell r="AE12">
            <v>1.8554047888828646E-06</v>
          </cell>
          <cell r="AF12">
            <v>208.89828519188092</v>
          </cell>
          <cell r="AG12">
            <v>74.11971050629268</v>
          </cell>
          <cell r="AH12">
            <v>0.012379671961657158</v>
          </cell>
          <cell r="AI12">
            <v>0.16716617293980168</v>
          </cell>
          <cell r="AJ12">
            <v>0.36966605059614394</v>
          </cell>
          <cell r="AK12">
            <v>0.004430335223809585</v>
          </cell>
          <cell r="AL12">
            <v>0.059312637886720775</v>
          </cell>
          <cell r="AM12">
            <v>0.1311621137963063</v>
          </cell>
          <cell r="AN12">
            <v>1963379</v>
          </cell>
          <cell r="AO12">
            <v>0.027995791637624154</v>
          </cell>
          <cell r="AP12">
            <v>4.968083378422209E-07</v>
          </cell>
          <cell r="AQ12">
            <v>7.566383432662295E-05</v>
          </cell>
          <cell r="AR12">
            <v>2421.1519018507424</v>
          </cell>
          <cell r="AS12">
            <v>0.17912559616900153</v>
          </cell>
          <cell r="AT12">
            <v>2.4187830242897714</v>
          </cell>
          <cell r="AU12">
            <v>4.2844662924274335</v>
          </cell>
          <cell r="AV12">
            <v>881941</v>
          </cell>
          <cell r="AW12">
            <v>0.01414247607990413</v>
          </cell>
          <cell r="AX12">
            <v>4.10776344911351E-06</v>
          </cell>
          <cell r="AY12">
            <v>0.0006168206235700853</v>
          </cell>
          <cell r="AZ12">
            <v>0.00033475568549889745</v>
          </cell>
          <cell r="BA12">
            <v>17279.24285631823</v>
          </cell>
          <cell r="BB12">
            <v>9377.644920154815</v>
          </cell>
          <cell r="BC12">
            <v>1.4602532756848483</v>
          </cell>
          <cell r="BD12">
            <v>19.718208396401565</v>
          </cell>
          <cell r="BE12">
            <v>30.577318804314693</v>
          </cell>
          <cell r="BF12">
            <v>0.7993295660992923</v>
          </cell>
          <cell r="BG12">
            <v>10.701299723642457</v>
          </cell>
          <cell r="BH12">
            <v>16.594664519828022</v>
          </cell>
          <cell r="BI12">
            <v>61010</v>
          </cell>
          <cell r="BJ12">
            <v>0.029799555362938993</v>
          </cell>
          <cell r="BK12">
            <v>3.9675555915332747E-07</v>
          </cell>
          <cell r="BL12">
            <v>6.053815295952153E-05</v>
          </cell>
          <cell r="BM12">
            <v>971.6252473697288</v>
          </cell>
          <cell r="BN12">
            <v>0.1445529908341058</v>
          </cell>
          <cell r="BO12">
            <v>1.935252925040122</v>
          </cell>
          <cell r="BP12">
            <v>1.7193863871345407</v>
          </cell>
          <cell r="BQ12">
            <v>1722260</v>
          </cell>
          <cell r="BR12">
            <v>0.016608934452941832</v>
          </cell>
          <cell r="BS12">
            <v>1.3268379006207565E-05</v>
          </cell>
          <cell r="BT12">
            <v>0.0019973732318059817</v>
          </cell>
          <cell r="BU12">
            <v>4026.304960674498</v>
          </cell>
          <cell r="BV12">
            <v>4.7693274464880595</v>
          </cell>
          <cell r="BW12">
            <v>63.85101296093324</v>
          </cell>
          <cell r="BX12">
            <v>7.1249424184648715</v>
          </cell>
        </row>
        <row r="13">
          <cell r="A13" t="str">
            <v>2275ri-7</v>
          </cell>
          <cell r="B13">
            <v>1364.6</v>
          </cell>
          <cell r="C13" t="str">
            <v>BOMBVOL.XLS!b161</v>
          </cell>
          <cell r="D13" t="str">
            <v>b161</v>
          </cell>
          <cell r="E13">
            <v>414</v>
          </cell>
          <cell r="F13">
            <v>564.8</v>
          </cell>
          <cell r="G13">
            <v>555.9</v>
          </cell>
          <cell r="H13">
            <v>1093</v>
          </cell>
          <cell r="I13">
            <v>1.33</v>
          </cell>
          <cell r="J13">
            <v>44.991042403802375</v>
          </cell>
          <cell r="K13">
            <v>105.05871589750974</v>
          </cell>
          <cell r="L13">
            <v>537.1</v>
          </cell>
          <cell r="N13">
            <v>1.0735927390279822</v>
          </cell>
          <cell r="O13" t="e">
            <v>#DIV/0!</v>
          </cell>
          <cell r="P13">
            <v>632.4558422542596</v>
          </cell>
          <cell r="Q13">
            <v>732.1441577457404</v>
          </cell>
          <cell r="R13">
            <v>26.55</v>
          </cell>
          <cell r="S13">
            <v>5</v>
          </cell>
          <cell r="T13">
            <v>22</v>
          </cell>
          <cell r="U13">
            <v>27.0410057619074</v>
          </cell>
          <cell r="V13">
            <v>0.055613564825248527</v>
          </cell>
          <cell r="W13">
            <v>5</v>
          </cell>
          <cell r="X13">
            <v>26.55</v>
          </cell>
          <cell r="Y13">
            <v>26.2</v>
          </cell>
          <cell r="Z13">
            <v>0.0003676709753072735</v>
          </cell>
          <cell r="AA13">
            <v>119473</v>
          </cell>
          <cell r="AB13">
            <v>0</v>
          </cell>
          <cell r="AC13">
            <v>2.0648858644589505E-08</v>
          </cell>
          <cell r="AD13">
            <v>3.1233268762609187E-06</v>
          </cell>
          <cell r="AE13">
            <v>1.3454624833148826E-06</v>
          </cell>
          <cell r="AF13">
            <v>124.77066205287117</v>
          </cell>
          <cell r="AG13">
            <v>53.748535283462935</v>
          </cell>
          <cell r="AH13">
            <v>0.0017509491508766518</v>
          </cell>
          <cell r="AI13">
            <v>0.10626073224185735</v>
          </cell>
          <cell r="AJ13">
            <v>0.232304341934223</v>
          </cell>
          <cell r="AK13">
            <v>0.0007550769549038572</v>
          </cell>
          <cell r="AL13">
            <v>0.04577485301575066</v>
          </cell>
          <cell r="AM13">
            <v>0.10007174694370309</v>
          </cell>
          <cell r="AN13">
            <v>982440</v>
          </cell>
          <cell r="AO13">
            <v>0.02609703037454827</v>
          </cell>
          <cell r="AP13">
            <v>2.5671749280693043E-07</v>
          </cell>
          <cell r="AQ13">
            <v>3.987137010419458E-05</v>
          </cell>
          <cell r="AR13">
            <v>1275.8359976901015</v>
          </cell>
          <cell r="AS13">
            <v>0.022352044596691184</v>
          </cell>
          <cell r="AT13">
            <v>1.3564897785626082</v>
          </cell>
          <cell r="AU13">
            <v>2.375416119326199</v>
          </cell>
          <cell r="AV13">
            <v>1282063</v>
          </cell>
          <cell r="AW13">
            <v>0.013170558424880371</v>
          </cell>
          <cell r="AX13">
            <v>6.19176229463176E-06</v>
          </cell>
          <cell r="AY13">
            <v>0.0009490597698695956</v>
          </cell>
          <cell r="AZ13">
            <v>0.0008004244853992718</v>
          </cell>
          <cell r="BA13">
            <v>26586.39095726493</v>
          </cell>
          <cell r="BB13">
            <v>22422.61127928396</v>
          </cell>
          <cell r="BC13">
            <v>0.5320465849458974</v>
          </cell>
          <cell r="BD13">
            <v>32.288578840124956</v>
          </cell>
          <cell r="BE13">
            <v>49.499890071243584</v>
          </cell>
          <cell r="BF13">
            <v>0.4492002494017692</v>
          </cell>
          <cell r="BG13">
            <v>27.23176128931476</v>
          </cell>
          <cell r="BH13">
            <v>41.747554048192065</v>
          </cell>
          <cell r="BI13">
            <v>57740</v>
          </cell>
          <cell r="BJ13">
            <v>0.027781953907491337</v>
          </cell>
          <cell r="BK13">
            <v>3.750745582571248E-07</v>
          </cell>
          <cell r="BL13">
            <v>5.8354629421804245E-05</v>
          </cell>
          <cell r="BM13">
            <v>936.5801312940738</v>
          </cell>
          <cell r="BN13">
            <v>0.032748765896318914</v>
          </cell>
          <cell r="BO13">
            <v>1.9853207485879376</v>
          </cell>
          <cell r="BP13">
            <v>1.7437723539267804</v>
          </cell>
          <cell r="BQ13">
            <v>1260432</v>
          </cell>
          <cell r="BR13">
            <v>0.015470173494577072</v>
          </cell>
          <cell r="BS13">
            <v>9.90148693395055E-06</v>
          </cell>
          <cell r="BT13">
            <v>0.001521223157691606</v>
          </cell>
          <cell r="BU13">
            <v>3066.481641274739</v>
          </cell>
          <cell r="BV13">
            <v>0.8537142907240679</v>
          </cell>
          <cell r="BW13">
            <v>51.75452107436634</v>
          </cell>
          <cell r="BX13">
            <v>5.709330927713161</v>
          </cell>
        </row>
        <row r="14">
          <cell r="A14" t="str">
            <v>2275ri-8</v>
          </cell>
          <cell r="B14">
            <v>1348.49</v>
          </cell>
          <cell r="C14" t="str">
            <v>BOMBVOL.XLS!b98</v>
          </cell>
          <cell r="D14" t="str">
            <v>b98</v>
          </cell>
          <cell r="E14">
            <v>374.8</v>
          </cell>
          <cell r="F14">
            <v>522.1</v>
          </cell>
          <cell r="G14">
            <v>516.5</v>
          </cell>
          <cell r="H14">
            <v>1048.1</v>
          </cell>
          <cell r="I14">
            <v>1.33</v>
          </cell>
          <cell r="J14">
            <v>43.94682059734809</v>
          </cell>
          <cell r="K14">
            <v>105.50798878982484</v>
          </cell>
          <cell r="L14">
            <v>531.5999999999999</v>
          </cell>
          <cell r="N14">
            <v>1.072499055398782</v>
          </cell>
          <cell r="O14" t="e">
            <v>#DIV/0!</v>
          </cell>
          <cell r="P14">
            <v>627.7861007063079</v>
          </cell>
          <cell r="Q14">
            <v>720.7038992936921</v>
          </cell>
          <cell r="R14">
            <v>26.53</v>
          </cell>
          <cell r="S14">
            <v>5</v>
          </cell>
          <cell r="T14">
            <v>22</v>
          </cell>
          <cell r="U14">
            <v>27.028424110584165</v>
          </cell>
          <cell r="V14">
            <v>0.05471909286456837</v>
          </cell>
          <cell r="W14">
            <v>5</v>
          </cell>
          <cell r="X14">
            <v>26.53</v>
          </cell>
          <cell r="Y14">
            <v>26.2</v>
          </cell>
          <cell r="Z14">
            <v>0.00036739401035412305</v>
          </cell>
          <cell r="AA14">
            <v>276723</v>
          </cell>
          <cell r="AB14">
            <v>0</v>
          </cell>
          <cell r="AC14">
            <v>5.231884270835798E-08</v>
          </cell>
          <cell r="AD14">
            <v>7.792287114223658E-06</v>
          </cell>
          <cell r="AE14">
            <v>5.011648422319876E-06</v>
          </cell>
          <cell r="AF14">
            <v>311.2862856390067</v>
          </cell>
          <cell r="AG14">
            <v>200.2053311748344</v>
          </cell>
          <cell r="AH14">
            <v>0.015633014127903584</v>
          </cell>
          <cell r="AI14">
            <v>0.265009040738772</v>
          </cell>
          <cell r="AJ14">
            <v>0.5855648714052045</v>
          </cell>
          <cell r="AK14">
            <v>0.010114844173917004</v>
          </cell>
          <cell r="AL14">
            <v>0.17044188971100196</v>
          </cell>
          <cell r="AM14">
            <v>0.37660897512196095</v>
          </cell>
          <cell r="AN14">
            <v>1589030</v>
          </cell>
          <cell r="AO14">
            <v>0.026309792334834117</v>
          </cell>
          <cell r="AP14">
            <v>4.076815657274856E-07</v>
          </cell>
          <cell r="AQ14">
            <v>6.236014110571387E-05</v>
          </cell>
          <cell r="AR14">
            <v>1995.449683213517</v>
          </cell>
          <cell r="AS14">
            <v>0.12510793719910468</v>
          </cell>
          <cell r="AT14">
            <v>2.1208152282522996</v>
          </cell>
          <cell r="AU14">
            <v>3.753667575646195</v>
          </cell>
          <cell r="AV14">
            <v>1046698</v>
          </cell>
          <cell r="AW14">
            <v>0.013279371350358657</v>
          </cell>
          <cell r="AX14">
            <v>4.96506282637814E-06</v>
          </cell>
          <cell r="AY14">
            <v>0.0007494408434688299</v>
          </cell>
          <cell r="AZ14">
            <v>0.0005169703442450724</v>
          </cell>
          <cell r="BA14">
            <v>20994.38612442972</v>
          </cell>
          <cell r="BB14">
            <v>14482.097041474912</v>
          </cell>
          <cell r="BC14">
            <v>1.5035405038644372</v>
          </cell>
          <cell r="BD14">
            <v>25.487844083106285</v>
          </cell>
          <cell r="BE14">
            <v>39.49282566672258</v>
          </cell>
          <cell r="BF14">
            <v>1.043384139096217</v>
          </cell>
          <cell r="BG14">
            <v>17.581720618161388</v>
          </cell>
          <cell r="BH14">
            <v>27.24246998020112</v>
          </cell>
          <cell r="BI14">
            <v>45472</v>
          </cell>
          <cell r="BJ14">
            <v>0.028008057540633933</v>
          </cell>
          <cell r="BK14">
            <v>2.937343383810957E-07</v>
          </cell>
          <cell r="BL14">
            <v>4.500894904421923E-05</v>
          </cell>
          <cell r="BM14">
            <v>722.3846303699099</v>
          </cell>
          <cell r="BN14">
            <v>0.0908400724972065</v>
          </cell>
          <cell r="BO14">
            <v>1.5307159805619108</v>
          </cell>
          <cell r="BP14">
            <v>1.3588875665348195</v>
          </cell>
          <cell r="BQ14">
            <v>2052363</v>
          </cell>
          <cell r="BR14">
            <v>0.015597685154742672</v>
          </cell>
          <cell r="BS14">
            <v>1.5637925159443913E-05</v>
          </cell>
          <cell r="BT14">
            <v>0.0023659922698491135</v>
          </cell>
          <cell r="BU14">
            <v>4769.367217561843</v>
          </cell>
          <cell r="BV14">
            <v>4.7752039068890015</v>
          </cell>
          <cell r="BW14">
            <v>80.46537975783149</v>
          </cell>
          <cell r="BX14">
            <v>8.971721628220173</v>
          </cell>
        </row>
        <row r="53">
          <cell r="A53">
            <v>10</v>
          </cell>
        </row>
      </sheetData>
      <sheetData sheetId="5">
        <row r="1">
          <cell r="A1" t="str">
            <v>Location</v>
          </cell>
          <cell r="B1" t="str">
            <v>SampleDate</v>
          </cell>
          <cell r="C1" t="str">
            <v>SampleTime</v>
          </cell>
          <cell r="D1" t="str">
            <v>WHP</v>
          </cell>
          <cell r="E1" t="str">
            <v>Throttle_Per</v>
          </cell>
          <cell r="F1" t="str">
            <v>OtherDescriptor</v>
          </cell>
          <cell r="G1" t="str">
            <v>OtherDescriptor2</v>
          </cell>
          <cell r="H1" t="str">
            <v>Series.</v>
          </cell>
          <cell r="I1" t="str">
            <v>Lab.</v>
          </cell>
          <cell r="J1" t="str">
            <v>GTS_FTLB</v>
          </cell>
          <cell r="K1" t="str">
            <v>GTS_MPMW</v>
          </cell>
          <cell r="L1" t="str">
            <v>GTS_PPMW</v>
          </cell>
          <cell r="M1" t="str">
            <v>Percent_Air</v>
          </cell>
          <cell r="N1" t="str">
            <v>Mls_Air</v>
          </cell>
          <cell r="O1" t="str">
            <v>Grams_Cond</v>
          </cell>
          <cell r="P1" t="str">
            <v>HS_Press</v>
          </cell>
          <cell r="Q1" t="str">
            <v>H20_PPMW</v>
          </cell>
          <cell r="R1" t="str">
            <v>CO2_Per</v>
          </cell>
          <cell r="S1" t="str">
            <v>CO2_MPMW</v>
          </cell>
          <cell r="T1" t="str">
            <v>CO2_PPMW</v>
          </cell>
          <cell r="U1" t="str">
            <v>H2S_Per</v>
          </cell>
          <cell r="V1" t="str">
            <v>H2S_MPMW</v>
          </cell>
          <cell r="W1" t="str">
            <v>H2S_PPMW</v>
          </cell>
          <cell r="X1" t="str">
            <v>NH3_Per</v>
          </cell>
          <cell r="Y1" t="str">
            <v>NH3_MPMW</v>
          </cell>
          <cell r="Z1" t="str">
            <v>NH3_PPMW</v>
          </cell>
          <cell r="AA1" t="str">
            <v>Argon_Per</v>
          </cell>
          <cell r="AB1" t="str">
            <v>Argon_MPMW</v>
          </cell>
          <cell r="AC1" t="str">
            <v>Argon_PPMW</v>
          </cell>
          <cell r="AD1" t="str">
            <v>Oxygen_Per</v>
          </cell>
          <cell r="AE1" t="str">
            <v>Oxygen_MPMW</v>
          </cell>
          <cell r="AF1" t="str">
            <v>Oxygen_PPMW</v>
          </cell>
          <cell r="AG1" t="str">
            <v>Nitrogen_Per</v>
          </cell>
          <cell r="AH1" t="str">
            <v>Nitrogen_MPMW</v>
          </cell>
          <cell r="AI1" t="str">
            <v>Nitrogen_PPMW</v>
          </cell>
          <cell r="AJ1" t="str">
            <v>CH4_Per</v>
          </cell>
          <cell r="AK1" t="str">
            <v>CH4_MPMW</v>
          </cell>
          <cell r="AL1" t="str">
            <v>CH4_PPMW</v>
          </cell>
          <cell r="AM1" t="str">
            <v>Hydrogen_Per</v>
          </cell>
          <cell r="AN1" t="str">
            <v>Hydrogen_MPMW</v>
          </cell>
          <cell r="AO1" t="str">
            <v>Hydrogen_PPMW</v>
          </cell>
          <cell r="AP1" t="str">
            <v>Helium_Per</v>
          </cell>
          <cell r="AQ1" t="str">
            <v>Helium_MPMW</v>
          </cell>
          <cell r="AR1" t="str">
            <v>Helium_PPMW</v>
          </cell>
        </row>
        <row r="2">
          <cell r="A2" t="str">
            <v>DRJ 13</v>
          </cell>
          <cell r="B2">
            <v>38246</v>
          </cell>
          <cell r="C2">
            <v>0.40347222222222223</v>
          </cell>
          <cell r="H2" t="str">
            <v>2275</v>
          </cell>
          <cell r="I2" t="str">
            <v>i-1</v>
          </cell>
          <cell r="J2">
            <v>0.07313361115644697</v>
          </cell>
          <cell r="K2">
            <v>3692.558210671589</v>
          </cell>
          <cell r="L2">
            <v>8743.611993035944</v>
          </cell>
          <cell r="M2">
            <v>0.22917198574708428</v>
          </cell>
          <cell r="N2">
            <v>5.890950187588196</v>
          </cell>
          <cell r="O2">
            <v>563</v>
          </cell>
          <cell r="P2">
            <v>1.2234194335721562</v>
          </cell>
          <cell r="Q2">
            <v>991256.388006964</v>
          </cell>
          <cell r="R2">
            <v>94.21510012286056</v>
          </cell>
          <cell r="S2">
            <v>3478.9474152791468</v>
          </cell>
          <cell r="T2">
            <v>8426.97138487858</v>
          </cell>
          <cell r="U2">
            <v>3.7773931710392366</v>
          </cell>
          <cell r="V2">
            <v>139.48244168655728</v>
          </cell>
          <cell r="W2">
            <v>261.60008941332654</v>
          </cell>
          <cell r="X2">
            <v>0.0050471129805758925</v>
          </cell>
          <cell r="Y2">
            <v>0.18636758476612672</v>
          </cell>
          <cell r="Z2">
            <v>0.17468978559564483</v>
          </cell>
          <cell r="AA2">
            <v>0.0014433871777588224</v>
          </cell>
          <cell r="AB2">
            <v>0.05329791174411433</v>
          </cell>
          <cell r="AC2">
            <v>0.11718648310861918</v>
          </cell>
          <cell r="AG2">
            <v>0.6098409790350136</v>
          </cell>
          <cell r="AH2">
            <v>22.518733143397398</v>
          </cell>
          <cell r="AI2">
            <v>34.72018760801326</v>
          </cell>
          <cell r="AJ2">
            <v>0.028388608500812984</v>
          </cell>
          <cell r="AK2">
            <v>1.0482658940921825</v>
          </cell>
          <cell r="AL2">
            <v>0.926005075775624</v>
          </cell>
          <cell r="AM2">
            <v>1.3627866184060322</v>
          </cell>
          <cell r="AN2">
            <v>50.321689171885644</v>
          </cell>
          <cell r="AO2">
            <v>5.583093974916522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ocControl"/>
      <sheetName val="How to read this spreadsheet"/>
      <sheetName val="Process"/>
      <sheetName val="Table 1"/>
      <sheetName val="Table 2"/>
      <sheetName val="Table 3"/>
      <sheetName val="Table 4"/>
      <sheetName val="Table 5"/>
      <sheetName val="Table 6"/>
      <sheetName val="Table 7"/>
      <sheetName val="Table 8"/>
      <sheetName val="Table 9"/>
      <sheetName val="Table 9b"/>
      <sheetName val="A1. JAMALI Production"/>
      <sheetName val="A2. Fuel Consumption PJB"/>
      <sheetName val="A3. PEC Coal"/>
      <sheetName val="A4. Coal Specs"/>
      <sheetName val="A5. PTBA Coal etc"/>
      <sheetName val="A6. Low Cost Must Run ex PTPJB"/>
      <sheetName val="A7. Year of 1st Operation PTIP"/>
      <sheetName val="A8. Year of 1st Op'n P TPJB"/>
      <sheetName val="A9. Suralaya Coal Spec"/>
      <sheetName val="B1. LPE T9 2004"/>
      <sheetName val="B2. LPE T10 2004"/>
      <sheetName val="B3. LPE T22 2004"/>
      <sheetName val="NCG Data"/>
      <sheetName val="Project IRR"/>
    </sheetNames>
    <sheetDataSet>
      <sheetData sheetId="8">
        <row r="20">
          <cell r="J20" t="str">
            <v>tCO2/kiloliterMFO</v>
          </cell>
          <cell r="K20">
            <v>2.7874043999999993</v>
          </cell>
        </row>
        <row r="21">
          <cell r="J21" t="str">
            <v>tCO2/mmscf</v>
          </cell>
          <cell r="K21">
            <v>47.56178309883002</v>
          </cell>
        </row>
        <row r="22">
          <cell r="J22" t="str">
            <v>tCO2/t fuel</v>
          </cell>
          <cell r="K22">
            <v>2.1281516666666667</v>
          </cell>
        </row>
        <row r="23">
          <cell r="J23" t="str">
            <v>tCO2/kiloliterHSD</v>
          </cell>
          <cell r="K23">
            <v>2.8152784439999996</v>
          </cell>
        </row>
        <row r="49">
          <cell r="T49" t="str">
            <v>t CO2/t coal (AR)1</v>
          </cell>
          <cell r="U49">
            <v>1.91200548</v>
          </cell>
        </row>
        <row r="50">
          <cell r="T50" t="str">
            <v>t CO2/t coal (AR)2</v>
          </cell>
          <cell r="U50">
            <v>2.0055889079224802</v>
          </cell>
        </row>
        <row r="51">
          <cell r="T51" t="str">
            <v>t CO2/t coal (AR)3</v>
          </cell>
          <cell r="U51">
            <v>1.9027568868</v>
          </cell>
        </row>
        <row r="52">
          <cell r="T52" t="str">
            <v>t CO2/t coal (AR)4</v>
          </cell>
          <cell r="U52">
            <v>1.9755415053763439</v>
          </cell>
        </row>
      </sheetData>
      <sheetData sheetId="11">
        <row r="4">
          <cell r="AF4" t="str">
            <v>Annex 3. Table 9</v>
          </cell>
        </row>
        <row r="5">
          <cell r="AF5" t="str">
            <v>RUKN (National Electricity Plan) 2005-2025</v>
          </cell>
        </row>
        <row r="6">
          <cell r="AF6" t="str">
            <v>JAMALI Interconnected Grid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6:AG95"/>
  <sheetViews>
    <sheetView showGridLines="0" tabSelected="1" zoomScale="125" zoomScaleNormal="125" workbookViewId="0" topLeftCell="A18">
      <selection activeCell="F44" sqref="F44"/>
    </sheetView>
  </sheetViews>
  <sheetFormatPr defaultColWidth="8.8515625" defaultRowHeight="12.75"/>
  <cols>
    <col min="1" max="1" width="11.421875" style="0" customWidth="1"/>
    <col min="2" max="2" width="6.421875" style="0" customWidth="1"/>
    <col min="3" max="3" width="27.7109375" style="0" customWidth="1"/>
    <col min="4" max="4" width="14.8515625" style="16" customWidth="1"/>
    <col min="5" max="5" width="14.28125" style="0" customWidth="1"/>
    <col min="6" max="6" width="23.7109375" style="0" customWidth="1"/>
    <col min="7" max="7" width="16.140625" style="0" customWidth="1"/>
    <col min="8" max="8" width="15.00390625" style="0" customWidth="1"/>
    <col min="9" max="9" width="20.00390625" style="0" customWidth="1"/>
    <col min="10" max="10" width="12.8515625" style="0" customWidth="1"/>
    <col min="11" max="11" width="16.8515625" style="0" customWidth="1"/>
    <col min="12" max="12" width="15.8515625" style="0" customWidth="1"/>
    <col min="13" max="13" width="9.7109375" style="0" bestFit="1" customWidth="1"/>
    <col min="14" max="14" width="11.7109375" style="0" bestFit="1" customWidth="1"/>
    <col min="15" max="17" width="9.421875" style="0" bestFit="1" customWidth="1"/>
    <col min="18" max="19" width="8.8515625" style="0" customWidth="1"/>
    <col min="20" max="23" width="9.421875" style="0" bestFit="1" customWidth="1"/>
  </cols>
  <sheetData>
    <row r="1" ht="12.75"/>
    <row r="2" ht="12.75"/>
    <row r="3" ht="12.75"/>
    <row r="4" ht="12.75"/>
    <row r="6" spans="1:2" ht="12">
      <c r="A6" t="s">
        <v>134</v>
      </c>
      <c r="B6" t="s">
        <v>57</v>
      </c>
    </row>
    <row r="7" spans="1:2" ht="12">
      <c r="A7" t="s">
        <v>135</v>
      </c>
      <c r="B7" s="311">
        <v>2.3</v>
      </c>
    </row>
    <row r="8" spans="1:2" ht="12">
      <c r="A8" t="s">
        <v>136</v>
      </c>
      <c r="B8" t="s">
        <v>4</v>
      </c>
    </row>
    <row r="11" spans="1:4" ht="18">
      <c r="A11" s="9"/>
      <c r="B11" s="17" t="s">
        <v>131</v>
      </c>
      <c r="C11" s="18"/>
      <c r="D11" s="18"/>
    </row>
    <row r="13" spans="2:4" ht="12">
      <c r="B13" s="464" t="s">
        <v>75</v>
      </c>
      <c r="C13" s="465"/>
      <c r="D13" s="465"/>
    </row>
    <row r="14" spans="2:4" ht="12">
      <c r="B14" s="19"/>
      <c r="C14" s="65"/>
      <c r="D14" s="64"/>
    </row>
    <row r="15" spans="1:4" ht="12">
      <c r="A15" s="19"/>
      <c r="B15" s="466" t="s">
        <v>254</v>
      </c>
      <c r="C15" s="465"/>
      <c r="D15" s="465"/>
    </row>
    <row r="16" spans="1:4" ht="12">
      <c r="A16" s="19"/>
      <c r="B16" s="19"/>
      <c r="C16" s="64"/>
      <c r="D16" s="66"/>
    </row>
    <row r="17" spans="1:4" ht="12">
      <c r="A17" s="19"/>
      <c r="B17" s="467" t="s">
        <v>145</v>
      </c>
      <c r="C17" s="465"/>
      <c r="D17" s="465"/>
    </row>
    <row r="18" spans="1:5" ht="12">
      <c r="A18" s="19"/>
      <c r="B18" s="19"/>
      <c r="C18" s="19"/>
      <c r="D18" s="21"/>
      <c r="E18" s="19"/>
    </row>
    <row r="19" spans="1:5" ht="15">
      <c r="A19" s="20"/>
      <c r="B19" s="20"/>
      <c r="C19" s="167" t="s">
        <v>167</v>
      </c>
      <c r="D19" s="168"/>
      <c r="E19" s="19"/>
    </row>
    <row r="20" spans="1:5" ht="12.75" thickBot="1">
      <c r="A20" s="20"/>
      <c r="B20" s="20"/>
      <c r="C20" s="166"/>
      <c r="D20" s="168"/>
      <c r="E20" s="19"/>
    </row>
    <row r="21" spans="1:8" ht="13.5" customHeight="1">
      <c r="A21" s="19"/>
      <c r="B21" s="20"/>
      <c r="C21" s="22" t="s">
        <v>38</v>
      </c>
      <c r="D21" s="217" t="s">
        <v>192</v>
      </c>
      <c r="E21" s="355" t="s">
        <v>191</v>
      </c>
      <c r="F21" s="356" t="s">
        <v>34</v>
      </c>
      <c r="G21" s="343" t="s">
        <v>255</v>
      </c>
      <c r="H21" s="345"/>
    </row>
    <row r="22" spans="1:7" ht="19.5">
      <c r="A22" s="19"/>
      <c r="B22" s="20"/>
      <c r="C22" s="67" t="s">
        <v>253</v>
      </c>
      <c r="D22" s="219" t="s">
        <v>241</v>
      </c>
      <c r="E22" s="357">
        <v>2014</v>
      </c>
      <c r="F22" s="314" t="s">
        <v>88</v>
      </c>
      <c r="G22" s="348"/>
    </row>
    <row r="23" spans="1:8" ht="19.5">
      <c r="A23" s="19"/>
      <c r="B23" s="20"/>
      <c r="C23" s="67" t="s">
        <v>160</v>
      </c>
      <c r="D23" s="219" t="s">
        <v>286</v>
      </c>
      <c r="E23" s="358">
        <v>41640</v>
      </c>
      <c r="F23" s="314" t="s">
        <v>228</v>
      </c>
      <c r="G23" s="352"/>
      <c r="H23" s="440"/>
    </row>
    <row r="24" spans="1:7" ht="12">
      <c r="A24" s="19"/>
      <c r="B24" s="20"/>
      <c r="C24" s="23" t="s">
        <v>164</v>
      </c>
      <c r="D24" s="219" t="s">
        <v>240</v>
      </c>
      <c r="E24" s="359">
        <v>2014</v>
      </c>
      <c r="F24" s="360"/>
      <c r="G24" s="391"/>
    </row>
    <row r="25" spans="1:7" ht="30">
      <c r="A25" s="19"/>
      <c r="B25" s="20"/>
      <c r="C25" s="336" t="s">
        <v>92</v>
      </c>
      <c r="D25" s="219" t="s">
        <v>240</v>
      </c>
      <c r="E25" s="359">
        <v>30</v>
      </c>
      <c r="F25" s="314" t="s">
        <v>215</v>
      </c>
      <c r="G25" s="348"/>
    </row>
    <row r="26" spans="1:7" ht="12">
      <c r="A26" s="19"/>
      <c r="B26" s="20"/>
      <c r="C26" s="23" t="s">
        <v>189</v>
      </c>
      <c r="D26" s="219" t="s">
        <v>299</v>
      </c>
      <c r="E26" s="361">
        <v>30</v>
      </c>
      <c r="F26" s="314" t="s">
        <v>216</v>
      </c>
      <c r="G26" s="348"/>
    </row>
    <row r="27" spans="1:7" ht="12">
      <c r="A27" s="19"/>
      <c r="B27" s="20"/>
      <c r="C27" s="23" t="s">
        <v>195</v>
      </c>
      <c r="D27" s="219" t="s">
        <v>282</v>
      </c>
      <c r="E27" s="362">
        <v>0.9</v>
      </c>
      <c r="F27" s="314" t="s">
        <v>216</v>
      </c>
      <c r="G27" s="348"/>
    </row>
    <row r="28" spans="1:7" ht="12">
      <c r="A28" s="19"/>
      <c r="B28" s="20"/>
      <c r="C28" s="24" t="s">
        <v>190</v>
      </c>
      <c r="D28" s="220" t="s">
        <v>283</v>
      </c>
      <c r="E28" s="363">
        <f>E27*8760</f>
        <v>7884</v>
      </c>
      <c r="F28" s="314" t="s">
        <v>35</v>
      </c>
      <c r="G28" s="348"/>
    </row>
    <row r="29" spans="1:7" ht="19.5">
      <c r="A29" s="19"/>
      <c r="B29" s="20"/>
      <c r="C29" s="24" t="s">
        <v>49</v>
      </c>
      <c r="D29" s="220" t="s">
        <v>151</v>
      </c>
      <c r="E29" s="364">
        <f>E26*E28</f>
        <v>236520</v>
      </c>
      <c r="F29" s="314" t="s">
        <v>217</v>
      </c>
      <c r="G29" s="348"/>
    </row>
    <row r="30" spans="1:7" ht="49.5">
      <c r="A30" s="19"/>
      <c r="B30" s="20"/>
      <c r="C30" s="24" t="s">
        <v>284</v>
      </c>
      <c r="D30" s="220" t="s">
        <v>73</v>
      </c>
      <c r="E30" s="365">
        <f>8*31.8*8760*E27</f>
        <v>2005689.6</v>
      </c>
      <c r="F30" s="314" t="s">
        <v>22</v>
      </c>
      <c r="G30" s="348"/>
    </row>
    <row r="31" spans="1:7" ht="19.5">
      <c r="A31" s="19"/>
      <c r="B31" s="20"/>
      <c r="C31" s="24" t="s">
        <v>142</v>
      </c>
      <c r="D31" s="220" t="s">
        <v>74</v>
      </c>
      <c r="E31" s="353">
        <v>0.0089467023</v>
      </c>
      <c r="F31" s="314" t="s">
        <v>66</v>
      </c>
      <c r="G31" s="348"/>
    </row>
    <row r="32" spans="1:7" ht="21" thickBot="1">
      <c r="A32" s="19"/>
      <c r="B32" s="20"/>
      <c r="C32" s="24" t="s">
        <v>184</v>
      </c>
      <c r="D32" s="220" t="s">
        <v>74</v>
      </c>
      <c r="E32" s="354">
        <v>9.7278E-06</v>
      </c>
      <c r="F32" s="314" t="s">
        <v>243</v>
      </c>
      <c r="G32" s="348"/>
    </row>
    <row r="33" spans="1:13" ht="3.75" customHeight="1" thickBot="1">
      <c r="A33" s="19"/>
      <c r="B33" s="20"/>
      <c r="C33" s="170"/>
      <c r="D33" s="221"/>
      <c r="E33" s="366"/>
      <c r="F33" s="367"/>
      <c r="G33" s="350"/>
      <c r="M33" s="116"/>
    </row>
    <row r="34" spans="1:13" ht="12">
      <c r="A34" s="19"/>
      <c r="B34" s="20"/>
      <c r="C34" s="22" t="s">
        <v>48</v>
      </c>
      <c r="D34" s="218"/>
      <c r="E34" s="368"/>
      <c r="F34" s="369"/>
      <c r="G34" s="349"/>
      <c r="I34" s="115" t="s">
        <v>158</v>
      </c>
      <c r="J34" s="172"/>
      <c r="K34" s="417"/>
      <c r="L34" s="173"/>
      <c r="M34" s="116"/>
    </row>
    <row r="35" spans="1:13" ht="12">
      <c r="A35" s="19"/>
      <c r="B35" s="20"/>
      <c r="C35" s="23" t="s">
        <v>56</v>
      </c>
      <c r="D35" s="219"/>
      <c r="E35" s="370" t="s">
        <v>87</v>
      </c>
      <c r="F35" s="460"/>
      <c r="G35" s="348"/>
      <c r="I35" s="331"/>
      <c r="J35" s="332"/>
      <c r="K35" s="418"/>
      <c r="L35" s="140"/>
      <c r="M35" s="116"/>
    </row>
    <row r="36" spans="1:13" ht="12">
      <c r="A36" s="19"/>
      <c r="B36" s="20"/>
      <c r="C36" s="23" t="s">
        <v>64</v>
      </c>
      <c r="D36" s="219" t="s">
        <v>143</v>
      </c>
      <c r="E36" s="371">
        <v>0.712</v>
      </c>
      <c r="F36" s="469" t="s">
        <v>39</v>
      </c>
      <c r="G36" s="348"/>
      <c r="I36" s="118" t="s">
        <v>133</v>
      </c>
      <c r="J36" s="305">
        <f>E67</f>
        <v>0.17908999999999997</v>
      </c>
      <c r="K36" s="419"/>
      <c r="L36" s="119"/>
      <c r="M36" s="116"/>
    </row>
    <row r="37" spans="1:13" ht="19.5" customHeight="1">
      <c r="A37" s="19"/>
      <c r="B37" s="20"/>
      <c r="C37" s="23" t="s">
        <v>65</v>
      </c>
      <c r="D37" s="219" t="s">
        <v>143</v>
      </c>
      <c r="E37" s="371">
        <v>0.769</v>
      </c>
      <c r="F37" s="470"/>
      <c r="G37" s="348"/>
      <c r="I37" s="117" t="s">
        <v>281</v>
      </c>
      <c r="J37" s="215">
        <f>'IRR - without CDM'!D46</f>
        <v>0.14466586402486348</v>
      </c>
      <c r="K37" s="420" t="s">
        <v>98</v>
      </c>
      <c r="L37" s="421"/>
      <c r="M37" s="116"/>
    </row>
    <row r="38" spans="1:13" ht="19.5" customHeight="1">
      <c r="A38" s="19"/>
      <c r="B38" s="20"/>
      <c r="C38" s="23" t="s">
        <v>81</v>
      </c>
      <c r="D38" s="219" t="s">
        <v>143</v>
      </c>
      <c r="E38" s="371">
        <v>0.74</v>
      </c>
      <c r="F38" s="471"/>
      <c r="G38" s="348"/>
      <c r="I38" s="117"/>
      <c r="J38" s="216"/>
      <c r="K38" s="422" t="s">
        <v>99</v>
      </c>
      <c r="L38" s="423" t="s">
        <v>100</v>
      </c>
      <c r="M38" s="116"/>
    </row>
    <row r="39" spans="1:13" ht="12.75" thickBot="1">
      <c r="A39" s="19"/>
      <c r="B39" s="20"/>
      <c r="C39" s="59" t="s">
        <v>159</v>
      </c>
      <c r="D39" s="222" t="s">
        <v>144</v>
      </c>
      <c r="E39" s="372">
        <v>7</v>
      </c>
      <c r="F39" s="373"/>
      <c r="G39" s="351"/>
      <c r="I39" s="118" t="s">
        <v>297</v>
      </c>
      <c r="J39" s="305">
        <f>'IRR - without CDM'!D86</f>
        <v>0.15898843868409251</v>
      </c>
      <c r="K39" s="424">
        <v>0.1</v>
      </c>
      <c r="L39" s="425">
        <v>0.245</v>
      </c>
      <c r="M39" s="211"/>
    </row>
    <row r="40" spans="1:13" ht="12">
      <c r="A40" s="19"/>
      <c r="B40" s="20"/>
      <c r="I40" s="118" t="s">
        <v>295</v>
      </c>
      <c r="J40" s="305">
        <f>'IRR - without CDM'!D126</f>
        <v>0.15821766897160572</v>
      </c>
      <c r="K40" s="424">
        <v>0.1</v>
      </c>
      <c r="L40" s="425">
        <v>0.224</v>
      </c>
      <c r="M40" s="123"/>
    </row>
    <row r="41" spans="1:13" ht="18" customHeight="1">
      <c r="A41" s="19"/>
      <c r="B41" s="20"/>
      <c r="I41" s="118" t="s">
        <v>268</v>
      </c>
      <c r="J41" s="305">
        <f>'IRR - without CDM'!D166</f>
        <v>0.14630295751208822</v>
      </c>
      <c r="K41" s="424">
        <v>0.1</v>
      </c>
      <c r="L41" s="425">
        <v>1</v>
      </c>
      <c r="M41" s="123"/>
    </row>
    <row r="42" spans="1:5" ht="12.75" customHeight="1">
      <c r="A42" s="20"/>
      <c r="B42" s="20"/>
      <c r="C42" s="25"/>
      <c r="D42" s="169"/>
      <c r="E42" s="20"/>
    </row>
    <row r="43" spans="2:4" ht="12">
      <c r="B43" s="9"/>
      <c r="C43" s="68"/>
      <c r="D43" s="69"/>
    </row>
    <row r="44" ht="15">
      <c r="C44" s="167" t="s">
        <v>260</v>
      </c>
    </row>
    <row r="45" spans="3:9" ht="12">
      <c r="C45" s="114"/>
      <c r="D45" s="114"/>
      <c r="E45" s="121"/>
      <c r="F45" s="122"/>
      <c r="G45" s="114"/>
      <c r="H45" s="114"/>
      <c r="I45" s="114"/>
    </row>
    <row r="46" spans="3:9" ht="12">
      <c r="C46" s="124" t="s">
        <v>69</v>
      </c>
      <c r="D46" s="125"/>
      <c r="E46" s="119"/>
      <c r="F46" s="312" t="s">
        <v>182</v>
      </c>
      <c r="G46" s="114"/>
      <c r="H46" s="114"/>
      <c r="I46" s="116"/>
    </row>
    <row r="47" spans="3:13" ht="12">
      <c r="C47" s="126"/>
      <c r="D47" s="127"/>
      <c r="E47" s="443"/>
      <c r="F47" s="314"/>
      <c r="G47" s="114"/>
      <c r="H47" s="114"/>
      <c r="I47" s="116"/>
      <c r="J47" s="63"/>
      <c r="K47" s="128"/>
      <c r="L47" s="63"/>
      <c r="M47" s="63"/>
    </row>
    <row r="48" spans="3:13" ht="12">
      <c r="C48" s="129" t="s">
        <v>70</v>
      </c>
      <c r="D48" s="130" t="s">
        <v>186</v>
      </c>
      <c r="E48" s="131">
        <v>90</v>
      </c>
      <c r="F48" s="315" t="s">
        <v>219</v>
      </c>
      <c r="G48" s="132"/>
      <c r="H48" s="132"/>
      <c r="I48" s="116"/>
      <c r="J48" s="63"/>
      <c r="K48" s="128"/>
      <c r="L48" s="63"/>
      <c r="M48" s="63"/>
    </row>
    <row r="49" spans="3:13" ht="12">
      <c r="C49" s="129" t="s">
        <v>187</v>
      </c>
      <c r="D49" s="130" t="s">
        <v>152</v>
      </c>
      <c r="E49" s="212">
        <f>E29</f>
        <v>236520</v>
      </c>
      <c r="F49" s="314" t="s">
        <v>188</v>
      </c>
      <c r="G49" s="114"/>
      <c r="H49" s="114"/>
      <c r="I49" s="116"/>
      <c r="J49" s="63"/>
      <c r="K49" s="128"/>
      <c r="L49" s="63"/>
      <c r="M49" s="63"/>
    </row>
    <row r="50" spans="3:13" ht="19.5">
      <c r="C50" s="133" t="s">
        <v>196</v>
      </c>
      <c r="D50" s="134" t="s">
        <v>68</v>
      </c>
      <c r="E50" s="306">
        <v>0.34</v>
      </c>
      <c r="F50" s="315" t="s">
        <v>90</v>
      </c>
      <c r="G50" s="223"/>
      <c r="H50" s="223"/>
      <c r="I50" s="151"/>
      <c r="J50" s="116"/>
      <c r="K50" s="128"/>
      <c r="L50" s="63"/>
      <c r="M50" s="63"/>
    </row>
    <row r="51" spans="3:13" ht="30">
      <c r="C51" s="133" t="s">
        <v>128</v>
      </c>
      <c r="D51" s="375" t="s">
        <v>129</v>
      </c>
      <c r="E51" s="376">
        <v>0.1</v>
      </c>
      <c r="F51" s="378" t="s">
        <v>256</v>
      </c>
      <c r="G51" s="116"/>
      <c r="H51" s="116"/>
      <c r="I51" s="116"/>
      <c r="J51" s="116"/>
      <c r="K51" s="116"/>
      <c r="L51" s="116"/>
      <c r="M51" s="116"/>
    </row>
    <row r="52" spans="3:13" ht="30">
      <c r="C52" s="377" t="s">
        <v>45</v>
      </c>
      <c r="D52" s="375" t="s">
        <v>129</v>
      </c>
      <c r="E52" s="374">
        <v>0.05</v>
      </c>
      <c r="F52" s="379" t="s">
        <v>257</v>
      </c>
      <c r="G52" s="116"/>
      <c r="H52" s="116"/>
      <c r="I52" s="116"/>
      <c r="J52" s="116"/>
      <c r="K52" s="116"/>
      <c r="L52" s="116"/>
      <c r="M52" s="116"/>
    </row>
    <row r="53" spans="3:13" ht="12">
      <c r="C53" s="136"/>
      <c r="D53" s="136"/>
      <c r="E53" s="136"/>
      <c r="F53" s="122"/>
      <c r="G53" s="114"/>
      <c r="H53" s="114"/>
      <c r="I53" s="116"/>
      <c r="J53" s="63"/>
      <c r="K53" s="128"/>
      <c r="L53" s="63"/>
      <c r="M53" s="63"/>
    </row>
    <row r="54" spans="3:13" ht="12">
      <c r="C54" s="111" t="s">
        <v>197</v>
      </c>
      <c r="D54" s="112"/>
      <c r="E54" s="137"/>
      <c r="F54" s="113" t="s">
        <v>182</v>
      </c>
      <c r="G54" s="114"/>
      <c r="H54" s="114"/>
      <c r="I54" s="116"/>
      <c r="J54" s="63"/>
      <c r="K54" s="128"/>
      <c r="L54" s="63"/>
      <c r="M54" s="63"/>
    </row>
    <row r="55" spans="3:13" ht="12">
      <c r="C55" s="138"/>
      <c r="D55" s="139"/>
      <c r="E55" s="140"/>
      <c r="F55" s="316"/>
      <c r="G55" s="114"/>
      <c r="H55" s="114"/>
      <c r="I55" s="116"/>
      <c r="J55" s="63"/>
      <c r="K55" s="128"/>
      <c r="L55" s="63"/>
      <c r="M55" s="63"/>
    </row>
    <row r="56" spans="3:13" ht="12">
      <c r="C56" s="141" t="s">
        <v>227</v>
      </c>
      <c r="D56" s="139"/>
      <c r="E56" s="140"/>
      <c r="F56" s="316"/>
      <c r="G56" s="82"/>
      <c r="H56" s="82"/>
      <c r="I56" s="63"/>
      <c r="J56" s="63"/>
      <c r="K56" s="128"/>
      <c r="L56" s="63"/>
      <c r="M56" s="63"/>
    </row>
    <row r="57" spans="3:13" ht="12">
      <c r="C57" s="133" t="s">
        <v>247</v>
      </c>
      <c r="D57" s="130" t="s">
        <v>202</v>
      </c>
      <c r="E57" s="212">
        <f>D89</f>
        <v>83200000</v>
      </c>
      <c r="F57" s="314" t="s">
        <v>218</v>
      </c>
      <c r="G57" s="184"/>
      <c r="H57" s="184"/>
      <c r="I57" s="185"/>
      <c r="J57" s="186"/>
      <c r="K57" s="185"/>
      <c r="L57" s="187"/>
      <c r="M57" s="185"/>
    </row>
    <row r="58" spans="3:13" ht="60">
      <c r="C58" s="135" t="s">
        <v>23</v>
      </c>
      <c r="D58" s="142" t="s">
        <v>68</v>
      </c>
      <c r="E58" s="307">
        <v>0.1</v>
      </c>
      <c r="F58" s="314" t="s">
        <v>0</v>
      </c>
      <c r="G58" s="188"/>
      <c r="H58" s="188"/>
      <c r="I58" s="185"/>
      <c r="J58" s="186"/>
      <c r="K58" s="185"/>
      <c r="L58" s="187"/>
      <c r="M58" s="185"/>
    </row>
    <row r="59" spans="3:13" ht="3" customHeight="1">
      <c r="C59" s="135"/>
      <c r="D59" s="144"/>
      <c r="E59" s="144"/>
      <c r="F59" s="316"/>
      <c r="G59" s="180"/>
      <c r="H59" s="180"/>
      <c r="I59" s="181"/>
      <c r="J59" s="181"/>
      <c r="K59" s="182"/>
      <c r="L59" s="183"/>
      <c r="M59" s="181"/>
    </row>
    <row r="60" spans="3:13" ht="12">
      <c r="C60" s="145" t="s">
        <v>248</v>
      </c>
      <c r="D60" s="146"/>
      <c r="E60" s="121"/>
      <c r="F60" s="316"/>
      <c r="G60" s="147"/>
      <c r="H60" s="147"/>
      <c r="I60" s="63"/>
      <c r="J60" s="63"/>
      <c r="K60" s="128"/>
      <c r="L60" s="143"/>
      <c r="M60" s="63"/>
    </row>
    <row r="61" spans="3:13" ht="25.5" customHeight="1">
      <c r="C61" s="135" t="s">
        <v>249</v>
      </c>
      <c r="D61" s="130" t="s">
        <v>161</v>
      </c>
      <c r="E61" s="235">
        <f>F78</f>
        <v>10.1</v>
      </c>
      <c r="F61" s="314" t="s">
        <v>220</v>
      </c>
      <c r="G61" s="148"/>
      <c r="H61" s="148"/>
      <c r="I61" s="63"/>
      <c r="J61" s="149"/>
      <c r="K61" s="128"/>
      <c r="L61" s="143"/>
      <c r="M61" s="63"/>
    </row>
    <row r="62" spans="3:13" ht="12">
      <c r="C62" s="135" t="s">
        <v>249</v>
      </c>
      <c r="D62" s="130" t="s">
        <v>172</v>
      </c>
      <c r="E62" s="213">
        <f>F75</f>
        <v>2400000</v>
      </c>
      <c r="F62" s="314" t="s">
        <v>221</v>
      </c>
      <c r="G62" s="148"/>
      <c r="H62" s="148"/>
      <c r="I62" s="63"/>
      <c r="J62" s="149"/>
      <c r="K62" s="128"/>
      <c r="L62" s="143"/>
      <c r="M62" s="63"/>
    </row>
    <row r="63" spans="3:13" ht="19.5">
      <c r="C63" s="335" t="s">
        <v>259</v>
      </c>
      <c r="D63" s="130" t="s">
        <v>202</v>
      </c>
      <c r="E63" s="120">
        <v>13930000</v>
      </c>
      <c r="F63" s="379" t="s">
        <v>14</v>
      </c>
      <c r="G63" s="148"/>
      <c r="H63" s="148"/>
      <c r="I63" s="63"/>
      <c r="J63" s="63"/>
      <c r="K63" s="128"/>
      <c r="L63" s="63"/>
      <c r="M63" s="63"/>
    </row>
    <row r="64" spans="3:13" ht="12">
      <c r="C64" s="150" t="s">
        <v>130</v>
      </c>
      <c r="D64" s="130" t="s">
        <v>202</v>
      </c>
      <c r="E64" s="171">
        <v>0</v>
      </c>
      <c r="F64" s="314" t="s">
        <v>15</v>
      </c>
      <c r="G64" s="63"/>
      <c r="H64" s="63"/>
      <c r="I64" s="63"/>
      <c r="J64" s="63"/>
      <c r="K64" s="63"/>
      <c r="L64" s="63"/>
      <c r="M64" s="63"/>
    </row>
    <row r="65" spans="3:13" ht="12">
      <c r="C65" s="146"/>
      <c r="D65" s="144"/>
      <c r="E65" s="63"/>
      <c r="F65" s="313"/>
      <c r="G65" s="63"/>
      <c r="H65" s="63"/>
      <c r="I65" s="63"/>
      <c r="J65" s="63"/>
      <c r="K65" s="63"/>
      <c r="L65" s="63"/>
      <c r="M65" s="63"/>
    </row>
    <row r="66" spans="3:13" ht="12">
      <c r="C66" s="111" t="s">
        <v>46</v>
      </c>
      <c r="D66" s="112"/>
      <c r="E66" s="152"/>
      <c r="F66" s="317" t="s">
        <v>182</v>
      </c>
      <c r="G66" s="82"/>
      <c r="H66" s="82"/>
      <c r="I66" s="63"/>
      <c r="J66" s="63"/>
      <c r="K66" s="63"/>
      <c r="L66" s="63"/>
      <c r="M66" s="63"/>
    </row>
    <row r="67" spans="3:13" ht="12">
      <c r="C67" s="153" t="s">
        <v>109</v>
      </c>
      <c r="D67" s="154" t="s">
        <v>68</v>
      </c>
      <c r="E67" s="155">
        <f>Benchmark!C31</f>
        <v>0.17908999999999997</v>
      </c>
      <c r="F67" s="318" t="s">
        <v>44</v>
      </c>
      <c r="G67" s="63"/>
      <c r="H67" s="63"/>
      <c r="I67" s="63"/>
      <c r="J67" s="63"/>
      <c r="K67" s="128"/>
      <c r="L67" s="63"/>
      <c r="M67" s="63"/>
    </row>
    <row r="68" spans="3:13" ht="12">
      <c r="C68" s="116"/>
      <c r="D68" s="116"/>
      <c r="E68" s="156"/>
      <c r="F68" s="156"/>
      <c r="G68" s="63"/>
      <c r="H68" s="63"/>
      <c r="I68" s="63"/>
      <c r="J68" s="63"/>
      <c r="K68" s="128"/>
      <c r="L68" s="63"/>
      <c r="M68" s="63"/>
    </row>
    <row r="69" spans="3:13" ht="12">
      <c r="C69" s="116"/>
      <c r="D69" s="116"/>
      <c r="E69" s="156"/>
      <c r="F69" s="156"/>
      <c r="G69" s="63"/>
      <c r="H69" s="63"/>
      <c r="I69" s="63"/>
      <c r="J69" s="63"/>
      <c r="K69" s="128"/>
      <c r="L69" s="63"/>
      <c r="M69" s="63"/>
    </row>
    <row r="70" spans="3:13" ht="12">
      <c r="C70" s="319" t="s">
        <v>223</v>
      </c>
      <c r="D70" s="320"/>
      <c r="E70" s="321"/>
      <c r="F70" s="322"/>
      <c r="G70" s="322"/>
      <c r="H70" s="322"/>
      <c r="I70" s="63"/>
      <c r="J70" s="63"/>
      <c r="K70" s="128"/>
      <c r="L70" s="63"/>
      <c r="M70" s="63"/>
    </row>
    <row r="71" spans="3:13" ht="12">
      <c r="C71" s="190" t="s">
        <v>289</v>
      </c>
      <c r="D71" s="116"/>
      <c r="E71" s="156"/>
      <c r="F71" s="156"/>
      <c r="G71" s="63"/>
      <c r="H71" s="63"/>
      <c r="I71" s="63"/>
      <c r="J71" s="63"/>
      <c r="K71" s="128"/>
      <c r="L71" s="63"/>
      <c r="M71" s="63"/>
    </row>
    <row r="72" spans="3:13" ht="12">
      <c r="C72" s="157" t="s">
        <v>226</v>
      </c>
      <c r="D72" s="226" t="s">
        <v>155</v>
      </c>
      <c r="E72" s="226" t="s">
        <v>124</v>
      </c>
      <c r="F72" s="227" t="s">
        <v>125</v>
      </c>
      <c r="G72" s="63"/>
      <c r="H72" s="63"/>
      <c r="I72" s="63"/>
      <c r="J72" s="63"/>
      <c r="K72" s="128"/>
      <c r="L72" s="63"/>
      <c r="M72" s="63"/>
    </row>
    <row r="73" spans="3:13" ht="13.5">
      <c r="C73" s="158" t="s">
        <v>224</v>
      </c>
      <c r="D73" s="234">
        <v>30000</v>
      </c>
      <c r="E73" s="224">
        <f>E26</f>
        <v>30</v>
      </c>
      <c r="F73" s="225">
        <f>D73*E73</f>
        <v>900000</v>
      </c>
      <c r="G73" s="63"/>
      <c r="H73" s="63"/>
      <c r="I73" s="63"/>
      <c r="J73" s="159"/>
      <c r="K73" s="128"/>
      <c r="L73" s="160"/>
      <c r="M73" s="63"/>
    </row>
    <row r="74" spans="3:13" ht="12">
      <c r="C74" s="158" t="s">
        <v>225</v>
      </c>
      <c r="D74" s="234">
        <v>50000</v>
      </c>
      <c r="E74" s="224">
        <f>E73</f>
        <v>30</v>
      </c>
      <c r="F74" s="225">
        <f>D74*E74</f>
        <v>1500000</v>
      </c>
      <c r="G74" s="63"/>
      <c r="H74" s="63"/>
      <c r="I74" s="63"/>
      <c r="J74" s="63"/>
      <c r="K74" s="128"/>
      <c r="L74" s="63"/>
      <c r="M74" s="63"/>
    </row>
    <row r="75" spans="3:13" ht="12">
      <c r="C75" s="161"/>
      <c r="D75" s="162"/>
      <c r="E75" s="163"/>
      <c r="F75" s="164">
        <f>SUM(F73:F74)</f>
        <v>2400000</v>
      </c>
      <c r="G75" s="63"/>
      <c r="H75" s="63"/>
      <c r="I75" s="63"/>
      <c r="J75" s="63"/>
      <c r="K75" s="128"/>
      <c r="L75" s="63"/>
      <c r="M75" s="63"/>
    </row>
    <row r="76" spans="3:13" ht="12">
      <c r="C76" s="63"/>
      <c r="D76" s="116"/>
      <c r="E76" s="156"/>
      <c r="F76" s="236">
        <v>3.8</v>
      </c>
      <c r="G76" s="63" t="s">
        <v>106</v>
      </c>
      <c r="H76" s="63"/>
      <c r="I76" s="63"/>
      <c r="J76" s="63"/>
      <c r="K76" s="128"/>
      <c r="L76" s="63"/>
      <c r="M76" s="63"/>
    </row>
    <row r="77" spans="3:13" ht="12">
      <c r="C77" s="63"/>
      <c r="D77" s="116"/>
      <c r="E77" s="156"/>
      <c r="F77" s="236">
        <v>6.3</v>
      </c>
      <c r="G77" s="63" t="s">
        <v>140</v>
      </c>
      <c r="H77" s="63"/>
      <c r="I77" s="63"/>
      <c r="J77" s="63"/>
      <c r="K77" s="128"/>
      <c r="L77" s="63"/>
      <c r="M77" s="63"/>
    </row>
    <row r="78" spans="3:13" ht="12">
      <c r="C78" s="63"/>
      <c r="D78" s="116"/>
      <c r="E78" s="156"/>
      <c r="F78" s="165">
        <f>SUM(F76:F77)</f>
        <v>10.1</v>
      </c>
      <c r="G78" s="63" t="s">
        <v>12</v>
      </c>
      <c r="H78" s="63"/>
      <c r="I78" s="63"/>
      <c r="J78" s="63"/>
      <c r="K78" s="128"/>
      <c r="L78" s="63"/>
      <c r="M78" s="63"/>
    </row>
    <row r="79" spans="3:13" ht="12">
      <c r="C79" s="63"/>
      <c r="D79" s="116"/>
      <c r="E79" s="156"/>
      <c r="F79" s="156"/>
      <c r="G79" s="63"/>
      <c r="H79" s="9"/>
      <c r="I79" s="63"/>
      <c r="J79" s="63"/>
      <c r="K79" s="128"/>
      <c r="L79" s="63"/>
      <c r="M79" s="63"/>
    </row>
    <row r="80" spans="3:13" ht="12">
      <c r="C80" s="319" t="s">
        <v>7</v>
      </c>
      <c r="D80" s="320"/>
      <c r="E80" s="321"/>
      <c r="F80" s="322"/>
      <c r="G80" s="322"/>
      <c r="H80" s="322"/>
      <c r="I80" s="63"/>
      <c r="J80" s="63"/>
      <c r="K80" s="128"/>
      <c r="L80" s="63"/>
      <c r="M80" s="63"/>
    </row>
    <row r="81" spans="3:8" ht="12">
      <c r="C81" s="190" t="s">
        <v>290</v>
      </c>
      <c r="H81" s="9"/>
    </row>
    <row r="82" spans="4:8" ht="12">
      <c r="D82" s="468" t="s">
        <v>264</v>
      </c>
      <c r="E82" s="468"/>
      <c r="F82" s="468" t="s">
        <v>265</v>
      </c>
      <c r="G82" s="468"/>
      <c r="H82" s="344"/>
    </row>
    <row r="83" spans="4:8" ht="24">
      <c r="D83" s="323" t="s">
        <v>156</v>
      </c>
      <c r="E83" s="323" t="s">
        <v>277</v>
      </c>
      <c r="F83" s="323" t="s">
        <v>156</v>
      </c>
      <c r="G83" s="323" t="s">
        <v>277</v>
      </c>
      <c r="H83" s="346"/>
    </row>
    <row r="84" spans="3:8" ht="12">
      <c r="C84" s="324" t="s">
        <v>103</v>
      </c>
      <c r="D84" s="325">
        <v>2400000</v>
      </c>
      <c r="E84" s="325">
        <v>0</v>
      </c>
      <c r="F84" s="326">
        <v>18240000</v>
      </c>
      <c r="G84" s="325">
        <v>0</v>
      </c>
      <c r="H84" s="347"/>
    </row>
    <row r="85" spans="3:8" ht="12">
      <c r="C85" s="324" t="s">
        <v>32</v>
      </c>
      <c r="D85" s="325">
        <v>5600000</v>
      </c>
      <c r="E85" s="325">
        <v>450000</v>
      </c>
      <c r="F85" s="326">
        <v>27360000</v>
      </c>
      <c r="G85" s="325">
        <v>0</v>
      </c>
      <c r="H85" s="347"/>
    </row>
    <row r="86" spans="3:8" ht="12">
      <c r="C86" s="324" t="s">
        <v>33</v>
      </c>
      <c r="D86" s="325">
        <v>27000000</v>
      </c>
      <c r="E86" s="325">
        <v>550000</v>
      </c>
      <c r="F86" s="326">
        <v>0</v>
      </c>
      <c r="G86" s="325">
        <v>0</v>
      </c>
      <c r="H86" s="347"/>
    </row>
    <row r="87" spans="3:8" ht="12">
      <c r="C87" s="324" t="s">
        <v>211</v>
      </c>
      <c r="D87" s="325">
        <v>1600000</v>
      </c>
      <c r="E87" s="325">
        <v>0</v>
      </c>
      <c r="F87" s="326">
        <v>0</v>
      </c>
      <c r="G87" s="325">
        <v>0</v>
      </c>
      <c r="H87" s="347"/>
    </row>
    <row r="88" spans="3:8" ht="12">
      <c r="C88" s="327" t="s">
        <v>157</v>
      </c>
      <c r="D88" s="328">
        <f>SUM(D84:D87)</f>
        <v>36600000</v>
      </c>
      <c r="E88" s="328">
        <f>SUM(E84:E87)</f>
        <v>1000000</v>
      </c>
      <c r="F88" s="328">
        <f>SUM(F84:F87)</f>
        <v>45600000</v>
      </c>
      <c r="G88" s="328">
        <f>SUM(G84:G87)</f>
        <v>0</v>
      </c>
      <c r="H88" s="347"/>
    </row>
    <row r="89" spans="3:6" ht="24">
      <c r="C89" s="329" t="s">
        <v>80</v>
      </c>
      <c r="D89" s="330">
        <f>SUM(D88:G88)</f>
        <v>83200000</v>
      </c>
      <c r="F89" s="442"/>
    </row>
    <row r="90" ht="15" customHeight="1"/>
    <row r="92" spans="3:8" ht="12">
      <c r="C92" s="319" t="s">
        <v>59</v>
      </c>
      <c r="D92" s="320"/>
      <c r="E92" s="321"/>
      <c r="F92" s="322"/>
      <c r="G92" s="322"/>
      <c r="H92" s="322"/>
    </row>
    <row r="93" ht="12">
      <c r="C93" s="190" t="s">
        <v>291</v>
      </c>
    </row>
    <row r="94" spans="3:33" ht="12">
      <c r="C94" s="381" t="s">
        <v>294</v>
      </c>
      <c r="D94" s="382">
        <v>1</v>
      </c>
      <c r="E94" s="382">
        <v>2</v>
      </c>
      <c r="F94" s="382">
        <v>3</v>
      </c>
      <c r="G94" s="382">
        <v>4</v>
      </c>
      <c r="H94" s="382">
        <v>5</v>
      </c>
      <c r="I94" s="382">
        <v>6</v>
      </c>
      <c r="J94" s="382">
        <v>7</v>
      </c>
      <c r="K94" s="382">
        <v>8</v>
      </c>
      <c r="L94" s="382">
        <v>9</v>
      </c>
      <c r="M94" s="382">
        <v>10</v>
      </c>
      <c r="N94" s="382">
        <v>11</v>
      </c>
      <c r="O94" s="382">
        <v>12</v>
      </c>
      <c r="P94" s="382">
        <v>13</v>
      </c>
      <c r="Q94" s="382">
        <v>14</v>
      </c>
      <c r="R94" s="382">
        <v>15</v>
      </c>
      <c r="S94" s="382">
        <v>16</v>
      </c>
      <c r="T94" s="382">
        <v>17</v>
      </c>
      <c r="U94" s="382">
        <v>18</v>
      </c>
      <c r="V94" s="382">
        <v>19</v>
      </c>
      <c r="W94" s="382">
        <v>20</v>
      </c>
      <c r="X94" s="382">
        <v>21</v>
      </c>
      <c r="Y94" s="382">
        <v>22</v>
      </c>
      <c r="Z94" s="382">
        <v>23</v>
      </c>
      <c r="AA94" s="382">
        <v>24</v>
      </c>
      <c r="AB94" s="382">
        <v>25</v>
      </c>
      <c r="AC94" s="382">
        <v>26</v>
      </c>
      <c r="AD94" s="382">
        <v>27</v>
      </c>
      <c r="AE94" s="382">
        <v>28</v>
      </c>
      <c r="AF94" s="382">
        <v>29</v>
      </c>
      <c r="AG94" s="382">
        <v>30</v>
      </c>
    </row>
    <row r="95" spans="3:33" ht="24">
      <c r="C95" s="405" t="s">
        <v>60</v>
      </c>
      <c r="D95" s="406">
        <f>Depreciation!F18</f>
        <v>5940000</v>
      </c>
      <c r="E95" s="406">
        <f>Depreciation!G18</f>
        <v>5940000</v>
      </c>
      <c r="F95" s="406">
        <f>Depreciation!H18</f>
        <v>5940000</v>
      </c>
      <c r="G95" s="406">
        <f>Depreciation!I18</f>
        <v>5940000</v>
      </c>
      <c r="H95" s="406">
        <f>Depreciation!J18</f>
        <v>5940000</v>
      </c>
      <c r="I95" s="406">
        <f>Depreciation!K18</f>
        <v>5940000</v>
      </c>
      <c r="J95" s="406">
        <f>Depreciation!L18</f>
        <v>5940000</v>
      </c>
      <c r="K95" s="406">
        <f>Depreciation!M18</f>
        <v>7333000</v>
      </c>
      <c r="L95" s="406">
        <f>Depreciation!N18</f>
        <v>7333000</v>
      </c>
      <c r="M95" s="406">
        <f>Depreciation!O18</f>
        <v>7333000</v>
      </c>
      <c r="N95" s="406">
        <f>Depreciation!P18</f>
        <v>3673000</v>
      </c>
      <c r="O95" s="406">
        <f>Depreciation!Q18</f>
        <v>3673000</v>
      </c>
      <c r="P95" s="406">
        <f>Depreciation!R18</f>
        <v>3673000</v>
      </c>
      <c r="Q95" s="406">
        <f>Depreciation!S18</f>
        <v>3673000</v>
      </c>
      <c r="R95" s="406">
        <f>Depreciation!T18</f>
        <v>3673000</v>
      </c>
      <c r="S95" s="406">
        <f>Depreciation!U18</f>
        <v>3673000</v>
      </c>
      <c r="T95" s="406">
        <f>Depreciation!V18</f>
        <v>3673000</v>
      </c>
      <c r="U95" s="406">
        <f>Depreciation!W18</f>
        <v>2280000</v>
      </c>
      <c r="V95" s="406">
        <f>Depreciation!X18</f>
        <v>2280000</v>
      </c>
      <c r="W95" s="406">
        <f>Depreciation!Y18</f>
        <v>2280000</v>
      </c>
      <c r="X95" s="406">
        <f>Depreciation!Z18</f>
        <v>0</v>
      </c>
      <c r="Y95" s="406">
        <f>Depreciation!AA18</f>
        <v>0</v>
      </c>
      <c r="Z95" s="406">
        <f>Depreciation!AB18</f>
        <v>0</v>
      </c>
      <c r="AA95" s="406">
        <f>Depreciation!AC18</f>
        <v>0</v>
      </c>
      <c r="AB95" s="406">
        <f>Depreciation!AD18</f>
        <v>0</v>
      </c>
      <c r="AC95" s="406">
        <f>Depreciation!AE18</f>
        <v>0</v>
      </c>
      <c r="AD95" s="406">
        <f>Depreciation!AF18</f>
        <v>0</v>
      </c>
      <c r="AE95" s="406">
        <f>Depreciation!AG18</f>
        <v>0</v>
      </c>
      <c r="AF95" s="406">
        <f>Depreciation!AH18</f>
        <v>0</v>
      </c>
      <c r="AG95" s="406">
        <f>Depreciation!AI18</f>
        <v>0</v>
      </c>
    </row>
  </sheetData>
  <sheetProtection/>
  <mergeCells count="6">
    <mergeCell ref="B13:D13"/>
    <mergeCell ref="B15:D15"/>
    <mergeCell ref="B17:D17"/>
    <mergeCell ref="D82:E82"/>
    <mergeCell ref="F82:G82"/>
    <mergeCell ref="F36:F38"/>
  </mergeCells>
  <printOptions/>
  <pageMargins left="0.75" right="0.75" top="1" bottom="1" header="0.492125985" footer="0.492125985"/>
  <pageSetup orientation="portrait" paperSize="10"/>
  <drawing r:id="rId1"/>
</worksheet>
</file>

<file path=xl/worksheets/sheet2.xml><?xml version="1.0" encoding="utf-8"?>
<worksheet xmlns="http://schemas.openxmlformats.org/spreadsheetml/2006/main" xmlns:r="http://schemas.openxmlformats.org/officeDocument/2006/relationships">
  <dimension ref="A6:AC73"/>
  <sheetViews>
    <sheetView showGridLines="0" zoomScale="125" zoomScaleNormal="125" workbookViewId="0" topLeftCell="A1">
      <pane xSplit="1" ySplit="14" topLeftCell="B25" activePane="bottomRight" state="frozen"/>
      <selection pane="topLeft" activeCell="A1" sqref="A1"/>
      <selection pane="topRight" activeCell="B1" sqref="B1"/>
      <selection pane="bottomLeft" activeCell="A5" sqref="A5"/>
      <selection pane="bottomRight" activeCell="C32" sqref="C32:I32"/>
    </sheetView>
  </sheetViews>
  <sheetFormatPr defaultColWidth="9.140625" defaultRowHeight="12.75"/>
  <cols>
    <col min="1" max="1" width="29.140625" style="0" customWidth="1"/>
    <col min="2" max="2" width="11.28125" style="0" customWidth="1"/>
    <col min="3" max="3" width="10.7109375" style="0" customWidth="1"/>
    <col min="4" max="4" width="10.421875" style="0" customWidth="1"/>
    <col min="5" max="5" width="9.421875" style="0" customWidth="1"/>
    <col min="6" max="6" width="9.28125" style="0" customWidth="1"/>
    <col min="7" max="10" width="10.8515625" style="0" customWidth="1"/>
    <col min="11" max="11" width="10.8515625" style="9" customWidth="1"/>
    <col min="12" max="20" width="10.8515625" style="0" customWidth="1"/>
    <col min="21" max="23" width="10.28125" style="0" customWidth="1"/>
    <col min="24" max="24" width="10.7109375" style="0" customWidth="1"/>
    <col min="25" max="16384" width="9.140625" style="20" customWidth="1"/>
  </cols>
  <sheetData>
    <row r="1" ht="12.75"/>
    <row r="2" ht="12.75"/>
    <row r="3" ht="12.75"/>
    <row r="4" ht="12.75"/>
    <row r="6" spans="1:2" ht="12">
      <c r="A6" t="s">
        <v>134</v>
      </c>
      <c r="B6" t="str">
        <f>Summary!B6</f>
        <v>Project Kamojang 5 PT. Pertamina Geothermal Energy </v>
      </c>
    </row>
    <row r="7" spans="1:2" ht="12">
      <c r="A7" t="s">
        <v>135</v>
      </c>
      <c r="B7" s="311">
        <f>Summary!B7</f>
        <v>2.3</v>
      </c>
    </row>
    <row r="8" spans="1:2" ht="12">
      <c r="A8" t="s">
        <v>136</v>
      </c>
      <c r="B8" t="str">
        <f>Summary!B8</f>
        <v>Arrie Tjahyo Setiawan, Alin Pratidina</v>
      </c>
    </row>
    <row r="11" spans="1:7" ht="16.5">
      <c r="A11" s="1" t="s">
        <v>123</v>
      </c>
      <c r="B11" s="12"/>
      <c r="C11" s="12"/>
      <c r="D11" s="1"/>
      <c r="E11" s="12"/>
      <c r="F11" s="12"/>
      <c r="G11" s="12"/>
    </row>
    <row r="12" spans="1:2" ht="16.5">
      <c r="A12" s="11"/>
      <c r="B12" s="11"/>
    </row>
    <row r="13" spans="1:29" ht="12">
      <c r="A13" s="2" t="s">
        <v>206</v>
      </c>
      <c r="B13" s="2"/>
      <c r="C13" s="2">
        <v>1</v>
      </c>
      <c r="D13" s="2">
        <v>2</v>
      </c>
      <c r="E13" s="2">
        <v>3</v>
      </c>
      <c r="F13" s="2">
        <v>4</v>
      </c>
      <c r="G13" s="2">
        <v>5</v>
      </c>
      <c r="H13" s="2">
        <v>6</v>
      </c>
      <c r="I13" s="2">
        <v>7</v>
      </c>
      <c r="J13" s="2">
        <v>8</v>
      </c>
      <c r="K13" s="2">
        <v>9</v>
      </c>
      <c r="L13" s="2">
        <v>10</v>
      </c>
      <c r="M13" s="2">
        <v>11</v>
      </c>
      <c r="N13" s="2">
        <v>12</v>
      </c>
      <c r="O13" s="2">
        <v>13</v>
      </c>
      <c r="P13" s="2">
        <v>14</v>
      </c>
      <c r="Q13" s="2">
        <v>15</v>
      </c>
      <c r="R13" s="2">
        <v>16</v>
      </c>
      <c r="S13" s="2">
        <v>17</v>
      </c>
      <c r="T13" s="2">
        <v>18</v>
      </c>
      <c r="U13" s="2">
        <v>19</v>
      </c>
      <c r="V13" s="2">
        <v>20</v>
      </c>
      <c r="W13" s="2">
        <v>21</v>
      </c>
      <c r="X13" s="51" t="s">
        <v>246</v>
      </c>
      <c r="Y13" s="25"/>
      <c r="Z13" s="25"/>
      <c r="AA13" s="25"/>
      <c r="AB13" s="25"/>
      <c r="AC13" s="25"/>
    </row>
    <row r="14" spans="1:29" ht="12">
      <c r="A14" s="2" t="s">
        <v>55</v>
      </c>
      <c r="B14" s="3"/>
      <c r="C14" s="107">
        <f>Summary!E24</f>
        <v>2014</v>
      </c>
      <c r="D14" s="107">
        <f>C14+1</f>
        <v>2015</v>
      </c>
      <c r="E14" s="107">
        <f aca="true" t="shared" si="0" ref="E14:W14">D14+1</f>
        <v>2016</v>
      </c>
      <c r="F14" s="107">
        <f t="shared" si="0"/>
        <v>2017</v>
      </c>
      <c r="G14" s="107">
        <f t="shared" si="0"/>
        <v>2018</v>
      </c>
      <c r="H14" s="107">
        <f t="shared" si="0"/>
        <v>2019</v>
      </c>
      <c r="I14" s="107">
        <f t="shared" si="0"/>
        <v>2020</v>
      </c>
      <c r="J14" s="107">
        <f t="shared" si="0"/>
        <v>2021</v>
      </c>
      <c r="K14" s="107">
        <f t="shared" si="0"/>
        <v>2022</v>
      </c>
      <c r="L14" s="107">
        <f t="shared" si="0"/>
        <v>2023</v>
      </c>
      <c r="M14" s="107">
        <f t="shared" si="0"/>
        <v>2024</v>
      </c>
      <c r="N14" s="107">
        <f t="shared" si="0"/>
        <v>2025</v>
      </c>
      <c r="O14" s="107">
        <f t="shared" si="0"/>
        <v>2026</v>
      </c>
      <c r="P14" s="107">
        <f t="shared" si="0"/>
        <v>2027</v>
      </c>
      <c r="Q14" s="107">
        <f t="shared" si="0"/>
        <v>2028</v>
      </c>
      <c r="R14" s="107">
        <f t="shared" si="0"/>
        <v>2029</v>
      </c>
      <c r="S14" s="107">
        <f t="shared" si="0"/>
        <v>2030</v>
      </c>
      <c r="T14" s="107">
        <f t="shared" si="0"/>
        <v>2031</v>
      </c>
      <c r="U14" s="107">
        <f t="shared" si="0"/>
        <v>2032</v>
      </c>
      <c r="V14" s="107">
        <f t="shared" si="0"/>
        <v>2033</v>
      </c>
      <c r="W14" s="107">
        <f t="shared" si="0"/>
        <v>2034</v>
      </c>
      <c r="X14" s="48"/>
      <c r="Y14" s="25"/>
      <c r="Z14" s="25"/>
      <c r="AA14" s="25"/>
      <c r="AB14" s="25"/>
      <c r="AC14" s="25"/>
    </row>
    <row r="15" spans="1:29" ht="12">
      <c r="A15" s="3"/>
      <c r="X15" s="49"/>
      <c r="Y15" s="25"/>
      <c r="Z15" s="25"/>
      <c r="AA15" s="25"/>
      <c r="AB15" s="25"/>
      <c r="AC15" s="25"/>
    </row>
    <row r="16" spans="1:29" ht="12">
      <c r="A16" s="13" t="s">
        <v>213</v>
      </c>
      <c r="B16" s="70">
        <f>Summary!E27</f>
        <v>0.9</v>
      </c>
      <c r="C16" s="14"/>
      <c r="X16" s="49"/>
      <c r="Y16" s="25"/>
      <c r="Z16" s="25"/>
      <c r="AA16" s="25"/>
      <c r="AB16" s="25"/>
      <c r="AC16" s="25"/>
    </row>
    <row r="17" spans="1:29" ht="12">
      <c r="A17" s="13" t="s">
        <v>146</v>
      </c>
      <c r="B17" s="71">
        <f>Summary!E28</f>
        <v>7884</v>
      </c>
      <c r="C17" s="100"/>
      <c r="D17" s="101"/>
      <c r="E17" s="101"/>
      <c r="F17" s="101"/>
      <c r="G17" s="101"/>
      <c r="H17" s="101"/>
      <c r="I17" s="101"/>
      <c r="J17" s="101"/>
      <c r="K17" s="102"/>
      <c r="L17" s="101"/>
      <c r="M17" s="101"/>
      <c r="N17" s="101"/>
      <c r="O17" s="101"/>
      <c r="P17" s="101"/>
      <c r="Q17" s="101"/>
      <c r="R17" s="101"/>
      <c r="S17" s="101"/>
      <c r="T17" s="101"/>
      <c r="U17" s="101"/>
      <c r="V17" s="101"/>
      <c r="W17" s="101"/>
      <c r="X17" s="49"/>
      <c r="Y17" s="25"/>
      <c r="Z17" s="25"/>
      <c r="AA17" s="25"/>
      <c r="AB17" s="25"/>
      <c r="AC17" s="25"/>
    </row>
    <row r="18" spans="1:29" ht="12">
      <c r="A18" s="13" t="s">
        <v>252</v>
      </c>
      <c r="B18" s="109"/>
      <c r="C18" s="110">
        <f>Summary!E29</f>
        <v>236520</v>
      </c>
      <c r="D18" s="4">
        <f>C18</f>
        <v>236520</v>
      </c>
      <c r="E18" s="4">
        <f aca="true" t="shared" si="1" ref="E18:W18">D18</f>
        <v>236520</v>
      </c>
      <c r="F18" s="4">
        <f t="shared" si="1"/>
        <v>236520</v>
      </c>
      <c r="G18" s="4">
        <f t="shared" si="1"/>
        <v>236520</v>
      </c>
      <c r="H18" s="4">
        <f t="shared" si="1"/>
        <v>236520</v>
      </c>
      <c r="I18" s="4">
        <f t="shared" si="1"/>
        <v>236520</v>
      </c>
      <c r="J18" s="4">
        <f t="shared" si="1"/>
        <v>236520</v>
      </c>
      <c r="K18" s="4">
        <f t="shared" si="1"/>
        <v>236520</v>
      </c>
      <c r="L18" s="4">
        <f t="shared" si="1"/>
        <v>236520</v>
      </c>
      <c r="M18" s="4">
        <f t="shared" si="1"/>
        <v>236520</v>
      </c>
      <c r="N18" s="4">
        <f t="shared" si="1"/>
        <v>236520</v>
      </c>
      <c r="O18" s="4">
        <f t="shared" si="1"/>
        <v>236520</v>
      </c>
      <c r="P18" s="4">
        <f t="shared" si="1"/>
        <v>236520</v>
      </c>
      <c r="Q18" s="4">
        <f t="shared" si="1"/>
        <v>236520</v>
      </c>
      <c r="R18" s="4">
        <f t="shared" si="1"/>
        <v>236520</v>
      </c>
      <c r="S18" s="4">
        <f t="shared" si="1"/>
        <v>236520</v>
      </c>
      <c r="T18" s="4">
        <f t="shared" si="1"/>
        <v>236520</v>
      </c>
      <c r="U18" s="4">
        <f t="shared" si="1"/>
        <v>236520</v>
      </c>
      <c r="V18" s="4">
        <f t="shared" si="1"/>
        <v>236520</v>
      </c>
      <c r="W18" s="4">
        <f t="shared" si="1"/>
        <v>236520</v>
      </c>
      <c r="X18" s="50">
        <f>SUM(C18:W18)</f>
        <v>4966920</v>
      </c>
      <c r="Y18" s="25"/>
      <c r="Z18" s="25"/>
      <c r="AA18" s="25"/>
      <c r="AB18" s="25"/>
      <c r="AC18" s="25"/>
    </row>
    <row r="19" spans="1:29" ht="12">
      <c r="A19" s="2"/>
      <c r="B19" s="4"/>
      <c r="C19" s="4"/>
      <c r="D19" s="4"/>
      <c r="E19" s="4"/>
      <c r="F19" s="4"/>
      <c r="G19" s="4"/>
      <c r="H19" s="4"/>
      <c r="I19" s="4"/>
      <c r="J19" s="4"/>
      <c r="K19" s="5"/>
      <c r="L19" s="4"/>
      <c r="M19" s="4"/>
      <c r="N19" s="4"/>
      <c r="O19" s="4"/>
      <c r="P19" s="4"/>
      <c r="Q19" s="4"/>
      <c r="R19" s="4"/>
      <c r="S19" s="4"/>
      <c r="T19" s="4"/>
      <c r="U19" s="4"/>
      <c r="V19" s="4"/>
      <c r="W19" s="4"/>
      <c r="X19" s="50"/>
      <c r="Y19" s="25"/>
      <c r="Z19" s="25"/>
      <c r="AA19" s="25"/>
      <c r="AB19" s="25"/>
      <c r="AC19" s="25"/>
    </row>
    <row r="20" spans="1:29" ht="15">
      <c r="A20" s="42" t="s">
        <v>278</v>
      </c>
      <c r="B20" s="4"/>
      <c r="C20" s="4"/>
      <c r="D20" s="4"/>
      <c r="E20" s="4"/>
      <c r="F20" s="4"/>
      <c r="G20" s="4"/>
      <c r="H20" s="4"/>
      <c r="I20" s="4"/>
      <c r="J20" s="4"/>
      <c r="K20" s="5"/>
      <c r="L20" s="4"/>
      <c r="M20" s="4"/>
      <c r="N20" s="4"/>
      <c r="O20" s="4"/>
      <c r="P20" s="4"/>
      <c r="Q20" s="4"/>
      <c r="R20" s="4"/>
      <c r="S20" s="4"/>
      <c r="T20" s="4"/>
      <c r="U20" s="4"/>
      <c r="V20" s="4"/>
      <c r="W20" s="4"/>
      <c r="X20" s="50"/>
      <c r="Y20" s="25"/>
      <c r="Z20" s="25"/>
      <c r="AA20" s="25"/>
      <c r="AB20" s="25"/>
      <c r="AC20" s="25"/>
    </row>
    <row r="21" spans="1:24" s="25" customFormat="1" ht="9.75">
      <c r="A21" s="2"/>
      <c r="B21" s="4"/>
      <c r="C21" s="4"/>
      <c r="D21" s="4"/>
      <c r="E21" s="4"/>
      <c r="F21" s="4"/>
      <c r="G21" s="4"/>
      <c r="H21" s="4"/>
      <c r="I21" s="4"/>
      <c r="J21" s="4"/>
      <c r="K21" s="5"/>
      <c r="L21" s="4"/>
      <c r="M21" s="4"/>
      <c r="N21" s="4"/>
      <c r="O21" s="4"/>
      <c r="P21" s="4"/>
      <c r="Q21" s="4"/>
      <c r="R21" s="4"/>
      <c r="S21" s="4"/>
      <c r="T21" s="4"/>
      <c r="U21" s="4"/>
      <c r="V21" s="4"/>
      <c r="W21" s="4"/>
      <c r="X21" s="50"/>
    </row>
    <row r="22" spans="1:24" s="25" customFormat="1" ht="9.75">
      <c r="A22" s="54" t="s">
        <v>6</v>
      </c>
      <c r="B22" s="108">
        <f>Summary!E38</f>
        <v>0.74</v>
      </c>
      <c r="C22" s="106">
        <f>$B$22</f>
        <v>0.74</v>
      </c>
      <c r="D22" s="106">
        <f aca="true" t="shared" si="2" ref="D22:W22">$B$22</f>
        <v>0.74</v>
      </c>
      <c r="E22" s="106">
        <f t="shared" si="2"/>
        <v>0.74</v>
      </c>
      <c r="F22" s="106">
        <f t="shared" si="2"/>
        <v>0.74</v>
      </c>
      <c r="G22" s="106">
        <f t="shared" si="2"/>
        <v>0.74</v>
      </c>
      <c r="H22" s="106">
        <f t="shared" si="2"/>
        <v>0.74</v>
      </c>
      <c r="I22" s="106">
        <f t="shared" si="2"/>
        <v>0.74</v>
      </c>
      <c r="J22" s="106">
        <f t="shared" si="2"/>
        <v>0.74</v>
      </c>
      <c r="K22" s="106">
        <f t="shared" si="2"/>
        <v>0.74</v>
      </c>
      <c r="L22" s="106">
        <f t="shared" si="2"/>
        <v>0.74</v>
      </c>
      <c r="M22" s="106">
        <f t="shared" si="2"/>
        <v>0.74</v>
      </c>
      <c r="N22" s="106">
        <f t="shared" si="2"/>
        <v>0.74</v>
      </c>
      <c r="O22" s="106">
        <f t="shared" si="2"/>
        <v>0.74</v>
      </c>
      <c r="P22" s="106">
        <f t="shared" si="2"/>
        <v>0.74</v>
      </c>
      <c r="Q22" s="106">
        <f t="shared" si="2"/>
        <v>0.74</v>
      </c>
      <c r="R22" s="106">
        <f t="shared" si="2"/>
        <v>0.74</v>
      </c>
      <c r="S22" s="106">
        <f t="shared" si="2"/>
        <v>0.74</v>
      </c>
      <c r="T22" s="106">
        <f t="shared" si="2"/>
        <v>0.74</v>
      </c>
      <c r="U22" s="106">
        <f t="shared" si="2"/>
        <v>0.74</v>
      </c>
      <c r="V22" s="106">
        <f t="shared" si="2"/>
        <v>0.74</v>
      </c>
      <c r="W22" s="106">
        <f t="shared" si="2"/>
        <v>0.74</v>
      </c>
      <c r="X22" s="57"/>
    </row>
    <row r="23" spans="1:24" s="26" customFormat="1" ht="9.75">
      <c r="A23" s="56" t="s">
        <v>292</v>
      </c>
      <c r="B23" s="104"/>
      <c r="C23" s="104">
        <f>ROUNDDOWN(C18*C22,0)</f>
        <v>175024</v>
      </c>
      <c r="D23" s="104">
        <f aca="true" t="shared" si="3" ref="D23:W23">ROUNDDOWN(D18*D22,0)</f>
        <v>175024</v>
      </c>
      <c r="E23" s="104">
        <f t="shared" si="3"/>
        <v>175024</v>
      </c>
      <c r="F23" s="104">
        <f t="shared" si="3"/>
        <v>175024</v>
      </c>
      <c r="G23" s="104">
        <f t="shared" si="3"/>
        <v>175024</v>
      </c>
      <c r="H23" s="104">
        <f t="shared" si="3"/>
        <v>175024</v>
      </c>
      <c r="I23" s="104">
        <f t="shared" si="3"/>
        <v>175024</v>
      </c>
      <c r="J23" s="104">
        <f t="shared" si="3"/>
        <v>175024</v>
      </c>
      <c r="K23" s="104">
        <f t="shared" si="3"/>
        <v>175024</v>
      </c>
      <c r="L23" s="104">
        <f t="shared" si="3"/>
        <v>175024</v>
      </c>
      <c r="M23" s="104">
        <f t="shared" si="3"/>
        <v>175024</v>
      </c>
      <c r="N23" s="104">
        <f t="shared" si="3"/>
        <v>175024</v>
      </c>
      <c r="O23" s="104">
        <f t="shared" si="3"/>
        <v>175024</v>
      </c>
      <c r="P23" s="104">
        <f t="shared" si="3"/>
        <v>175024</v>
      </c>
      <c r="Q23" s="104">
        <f t="shared" si="3"/>
        <v>175024</v>
      </c>
      <c r="R23" s="104">
        <f t="shared" si="3"/>
        <v>175024</v>
      </c>
      <c r="S23" s="104">
        <f t="shared" si="3"/>
        <v>175024</v>
      </c>
      <c r="T23" s="104">
        <f t="shared" si="3"/>
        <v>175024</v>
      </c>
      <c r="U23" s="104">
        <f t="shared" si="3"/>
        <v>175024</v>
      </c>
      <c r="V23" s="104">
        <f t="shared" si="3"/>
        <v>175024</v>
      </c>
      <c r="W23" s="104">
        <f t="shared" si="3"/>
        <v>175024</v>
      </c>
      <c r="X23" s="52">
        <f>SUM(C23:W23)</f>
        <v>3675504</v>
      </c>
    </row>
    <row r="24" spans="2:24" s="25" customFormat="1" ht="9.75">
      <c r="B24" s="103"/>
      <c r="C24" s="103"/>
      <c r="D24" s="103"/>
      <c r="E24" s="103"/>
      <c r="F24" s="103"/>
      <c r="G24" s="103"/>
      <c r="H24" s="103"/>
      <c r="I24" s="103"/>
      <c r="J24" s="103"/>
      <c r="K24" s="103"/>
      <c r="L24" s="103"/>
      <c r="M24" s="103"/>
      <c r="N24" s="103"/>
      <c r="O24" s="103"/>
      <c r="P24" s="103"/>
      <c r="Q24" s="103"/>
      <c r="R24" s="103"/>
      <c r="S24" s="103"/>
      <c r="T24" s="103"/>
      <c r="U24" s="103"/>
      <c r="V24" s="103"/>
      <c r="W24" s="103"/>
      <c r="X24" s="58"/>
    </row>
    <row r="25" spans="1:24" s="25" customFormat="1" ht="15">
      <c r="A25" s="43" t="s">
        <v>183</v>
      </c>
      <c r="B25" s="103"/>
      <c r="C25" s="103"/>
      <c r="D25" s="103"/>
      <c r="E25" s="103"/>
      <c r="F25" s="103"/>
      <c r="G25" s="103"/>
      <c r="H25" s="103"/>
      <c r="I25" s="103"/>
      <c r="J25" s="103"/>
      <c r="K25" s="103"/>
      <c r="L25" s="103"/>
      <c r="M25" s="103"/>
      <c r="N25" s="103"/>
      <c r="O25" s="103"/>
      <c r="P25" s="103"/>
      <c r="Q25" s="103"/>
      <c r="R25" s="103"/>
      <c r="S25" s="103"/>
      <c r="T25" s="103"/>
      <c r="U25" s="103"/>
      <c r="V25" s="103"/>
      <c r="W25" s="103"/>
      <c r="X25" s="58"/>
    </row>
    <row r="26" spans="1:24" s="25" customFormat="1" ht="6.75" customHeight="1">
      <c r="A26" s="43"/>
      <c r="B26" s="103"/>
      <c r="C26" s="103"/>
      <c r="D26" s="103"/>
      <c r="E26" s="103"/>
      <c r="F26" s="103"/>
      <c r="G26" s="103"/>
      <c r="H26" s="103"/>
      <c r="I26" s="103"/>
      <c r="J26" s="103"/>
      <c r="K26" s="103"/>
      <c r="L26" s="103"/>
      <c r="M26" s="103"/>
      <c r="N26" s="103"/>
      <c r="O26" s="103"/>
      <c r="P26" s="103"/>
      <c r="Q26" s="103"/>
      <c r="R26" s="103"/>
      <c r="S26" s="103"/>
      <c r="T26" s="103"/>
      <c r="U26" s="103"/>
      <c r="V26" s="103"/>
      <c r="W26" s="103"/>
      <c r="X26" s="58"/>
    </row>
    <row r="27" spans="1:24" s="62" customFormat="1" ht="9.75">
      <c r="A27" s="62" t="s">
        <v>183</v>
      </c>
      <c r="B27" s="105"/>
      <c r="C27" s="105">
        <f>'Proj Emissions'!$D$14</f>
        <v>18355</v>
      </c>
      <c r="D27" s="105">
        <f>'Proj Emissions'!$D$14</f>
        <v>18355</v>
      </c>
      <c r="E27" s="105">
        <f>'Proj Emissions'!$D$14</f>
        <v>18355</v>
      </c>
      <c r="F27" s="105">
        <f>'Proj Emissions'!$D$14</f>
        <v>18355</v>
      </c>
      <c r="G27" s="105">
        <f>'Proj Emissions'!$D$14</f>
        <v>18355</v>
      </c>
      <c r="H27" s="105">
        <f>'Proj Emissions'!$D$14</f>
        <v>18355</v>
      </c>
      <c r="I27" s="105">
        <f>'Proj Emissions'!$D$14</f>
        <v>18355</v>
      </c>
      <c r="J27" s="105">
        <f>'Proj Emissions'!$D$14</f>
        <v>18355</v>
      </c>
      <c r="K27" s="105">
        <f>'Proj Emissions'!$D$14</f>
        <v>18355</v>
      </c>
      <c r="L27" s="105">
        <f>'Proj Emissions'!$D$14</f>
        <v>18355</v>
      </c>
      <c r="M27" s="105">
        <f>'Proj Emissions'!$D$14</f>
        <v>18355</v>
      </c>
      <c r="N27" s="105">
        <f>'Proj Emissions'!$D$14</f>
        <v>18355</v>
      </c>
      <c r="O27" s="105">
        <f>'Proj Emissions'!$D$14</f>
        <v>18355</v>
      </c>
      <c r="P27" s="105">
        <f>'Proj Emissions'!$D$14</f>
        <v>18355</v>
      </c>
      <c r="Q27" s="105">
        <f>'Proj Emissions'!$D$14</f>
        <v>18355</v>
      </c>
      <c r="R27" s="105">
        <f>'Proj Emissions'!$D$14</f>
        <v>18355</v>
      </c>
      <c r="S27" s="105">
        <f>'Proj Emissions'!$D$14</f>
        <v>18355</v>
      </c>
      <c r="T27" s="105">
        <f>'Proj Emissions'!$D$14</f>
        <v>18355</v>
      </c>
      <c r="U27" s="105">
        <f>'Proj Emissions'!$D$14</f>
        <v>18355</v>
      </c>
      <c r="V27" s="105">
        <f>'Proj Emissions'!$D$14</f>
        <v>18355</v>
      </c>
      <c r="W27" s="105">
        <f>'Proj Emissions'!$D$14</f>
        <v>18355</v>
      </c>
      <c r="X27" s="52">
        <f>SUM(C27:W27)</f>
        <v>385455</v>
      </c>
    </row>
    <row r="28" spans="1:24" s="25" customFormat="1" ht="11.25" customHeight="1">
      <c r="A28" s="26"/>
      <c r="B28" s="45"/>
      <c r="C28" s="45"/>
      <c r="D28" s="45"/>
      <c r="E28" s="45"/>
      <c r="F28" s="45"/>
      <c r="G28" s="45"/>
      <c r="H28" s="45"/>
      <c r="I28" s="45"/>
      <c r="J28" s="45"/>
      <c r="K28" s="45"/>
      <c r="L28" s="45"/>
      <c r="M28" s="45"/>
      <c r="N28" s="45"/>
      <c r="O28" s="45"/>
      <c r="P28" s="45"/>
      <c r="Q28" s="45"/>
      <c r="R28" s="45"/>
      <c r="S28" s="45"/>
      <c r="T28" s="45"/>
      <c r="U28" s="45"/>
      <c r="V28" s="45"/>
      <c r="W28" s="55"/>
      <c r="X28" s="58"/>
    </row>
    <row r="29" spans="1:24" s="25" customFormat="1" ht="15">
      <c r="A29" s="43" t="s">
        <v>205</v>
      </c>
      <c r="B29" s="40"/>
      <c r="C29" s="40"/>
      <c r="D29" s="40"/>
      <c r="E29" s="40"/>
      <c r="F29" s="40"/>
      <c r="G29" s="40"/>
      <c r="H29" s="40"/>
      <c r="I29" s="40"/>
      <c r="J29" s="40"/>
      <c r="K29" s="40"/>
      <c r="L29" s="40"/>
      <c r="M29" s="40"/>
      <c r="N29" s="40"/>
      <c r="O29" s="40"/>
      <c r="P29" s="40"/>
      <c r="Q29" s="40"/>
      <c r="R29" s="40"/>
      <c r="S29" s="40"/>
      <c r="T29" s="40"/>
      <c r="U29" s="40"/>
      <c r="V29" s="40"/>
      <c r="W29" s="41"/>
      <c r="X29" s="50"/>
    </row>
    <row r="30" spans="1:24" s="25" customFormat="1" ht="8.25" customHeight="1">
      <c r="A30" s="43"/>
      <c r="B30" s="40"/>
      <c r="C30" s="40"/>
      <c r="D30" s="40"/>
      <c r="E30" s="40"/>
      <c r="F30" s="40"/>
      <c r="G30" s="40"/>
      <c r="H30" s="40"/>
      <c r="I30" s="40"/>
      <c r="J30" s="40"/>
      <c r="K30" s="40"/>
      <c r="L30" s="40"/>
      <c r="M30" s="40"/>
      <c r="N30" s="40"/>
      <c r="O30" s="40"/>
      <c r="P30" s="40"/>
      <c r="Q30" s="40"/>
      <c r="R30" s="40"/>
      <c r="S30" s="40"/>
      <c r="T30" s="40"/>
      <c r="U30" s="40"/>
      <c r="V30" s="40"/>
      <c r="W30" s="41"/>
      <c r="X30" s="50"/>
    </row>
    <row r="31" spans="1:24" s="25" customFormat="1" ht="9.75">
      <c r="A31" s="44" t="s">
        <v>61</v>
      </c>
      <c r="B31" s="71">
        <f>Summary!E39</f>
        <v>7</v>
      </c>
      <c r="C31" s="40"/>
      <c r="D31" s="40"/>
      <c r="E31" s="40"/>
      <c r="F31" s="40"/>
      <c r="G31" s="40"/>
      <c r="H31" s="40"/>
      <c r="I31" s="40"/>
      <c r="J31" s="40"/>
      <c r="K31" s="40"/>
      <c r="L31" s="40"/>
      <c r="M31" s="40"/>
      <c r="N31" s="40"/>
      <c r="O31" s="40"/>
      <c r="P31" s="40"/>
      <c r="Q31" s="40"/>
      <c r="R31" s="40"/>
      <c r="S31" s="40"/>
      <c r="T31" s="40"/>
      <c r="U31" s="40"/>
      <c r="V31" s="40"/>
      <c r="W31" s="41"/>
      <c r="X31" s="50"/>
    </row>
    <row r="32" spans="1:25" s="25" customFormat="1" ht="9.75">
      <c r="A32" s="6" t="s">
        <v>67</v>
      </c>
      <c r="B32" s="104"/>
      <c r="C32" s="104">
        <f>C23-C27</f>
        <v>156669</v>
      </c>
      <c r="D32" s="104">
        <f aca="true" t="shared" si="4" ref="D32:W32">D23-D27</f>
        <v>156669</v>
      </c>
      <c r="E32" s="104">
        <f t="shared" si="4"/>
        <v>156669</v>
      </c>
      <c r="F32" s="104">
        <f t="shared" si="4"/>
        <v>156669</v>
      </c>
      <c r="G32" s="104">
        <f t="shared" si="4"/>
        <v>156669</v>
      </c>
      <c r="H32" s="104">
        <f t="shared" si="4"/>
        <v>156669</v>
      </c>
      <c r="I32" s="104">
        <f t="shared" si="4"/>
        <v>156669</v>
      </c>
      <c r="J32" s="104">
        <f t="shared" si="4"/>
        <v>156669</v>
      </c>
      <c r="K32" s="104">
        <f t="shared" si="4"/>
        <v>156669</v>
      </c>
      <c r="L32" s="104">
        <f t="shared" si="4"/>
        <v>156669</v>
      </c>
      <c r="M32" s="104">
        <f t="shared" si="4"/>
        <v>156669</v>
      </c>
      <c r="N32" s="104">
        <f t="shared" si="4"/>
        <v>156669</v>
      </c>
      <c r="O32" s="104">
        <f t="shared" si="4"/>
        <v>156669</v>
      </c>
      <c r="P32" s="104">
        <f t="shared" si="4"/>
        <v>156669</v>
      </c>
      <c r="Q32" s="104">
        <f t="shared" si="4"/>
        <v>156669</v>
      </c>
      <c r="R32" s="104">
        <f t="shared" si="4"/>
        <v>156669</v>
      </c>
      <c r="S32" s="104">
        <f t="shared" si="4"/>
        <v>156669</v>
      </c>
      <c r="T32" s="104">
        <f t="shared" si="4"/>
        <v>156669</v>
      </c>
      <c r="U32" s="104">
        <f t="shared" si="4"/>
        <v>156669</v>
      </c>
      <c r="V32" s="104">
        <f t="shared" si="4"/>
        <v>156669</v>
      </c>
      <c r="W32" s="104">
        <f t="shared" si="4"/>
        <v>156669</v>
      </c>
      <c r="X32" s="53">
        <f>SUM(C32:W32)</f>
        <v>3290049</v>
      </c>
      <c r="Y32" s="55"/>
    </row>
    <row r="33" spans="1:24" s="25" customFormat="1" ht="9.75">
      <c r="A33" s="44"/>
      <c r="B33" s="40"/>
      <c r="C33" s="40"/>
      <c r="D33" s="40"/>
      <c r="E33" s="40"/>
      <c r="F33" s="40"/>
      <c r="G33" s="40"/>
      <c r="H33" s="40"/>
      <c r="I33" s="40"/>
      <c r="J33" s="40"/>
      <c r="K33" s="45"/>
      <c r="L33" s="40"/>
      <c r="M33" s="40"/>
      <c r="N33" s="40"/>
      <c r="O33" s="40"/>
      <c r="P33" s="40"/>
      <c r="Q33" s="40"/>
      <c r="R33" s="40"/>
      <c r="S33" s="40"/>
      <c r="T33" s="40"/>
      <c r="U33" s="40"/>
      <c r="V33" s="46"/>
      <c r="W33" s="47"/>
      <c r="X33" s="47"/>
    </row>
    <row r="34" spans="1:24" s="25" customFormat="1" ht="14.25" customHeight="1">
      <c r="A34" s="2"/>
      <c r="B34" s="2"/>
      <c r="C34" s="2"/>
      <c r="D34" s="2"/>
      <c r="E34" s="10"/>
      <c r="F34" s="2"/>
      <c r="G34" s="2"/>
      <c r="H34" s="2"/>
      <c r="I34" s="2"/>
      <c r="J34" s="2"/>
      <c r="K34" s="10"/>
      <c r="L34" s="2"/>
      <c r="M34" s="2"/>
      <c r="N34" s="2"/>
      <c r="O34" s="2"/>
      <c r="P34" s="2"/>
      <c r="Q34" s="2"/>
      <c r="R34" s="2"/>
      <c r="S34" s="2"/>
      <c r="T34" s="2"/>
      <c r="U34" s="2"/>
      <c r="V34" s="2"/>
      <c r="W34" s="2"/>
      <c r="X34" s="2"/>
    </row>
    <row r="35" spans="1:24" s="25" customFormat="1" ht="9.75">
      <c r="A35" s="2"/>
      <c r="B35" s="7"/>
      <c r="C35" s="4"/>
      <c r="D35" s="4"/>
      <c r="E35" s="10"/>
      <c r="F35" s="2"/>
      <c r="G35" s="2"/>
      <c r="H35" s="2"/>
      <c r="I35" s="2"/>
      <c r="J35" s="2"/>
      <c r="K35" s="10"/>
      <c r="L35" s="2"/>
      <c r="M35" s="2"/>
      <c r="N35" s="2"/>
      <c r="O35" s="2"/>
      <c r="P35" s="2"/>
      <c r="Q35" s="2"/>
      <c r="R35" s="2"/>
      <c r="S35" s="2"/>
      <c r="T35" s="2"/>
      <c r="U35" s="2"/>
      <c r="V35" s="2"/>
      <c r="W35" s="2"/>
      <c r="X35" s="2"/>
    </row>
    <row r="36" spans="1:24" s="25" customFormat="1" ht="9.75">
      <c r="A36" s="2"/>
      <c r="B36" s="7"/>
      <c r="C36" s="2"/>
      <c r="D36" s="2"/>
      <c r="E36" s="10"/>
      <c r="F36" s="2"/>
      <c r="G36" s="2"/>
      <c r="H36" s="2"/>
      <c r="I36" s="2"/>
      <c r="J36" s="2"/>
      <c r="K36" s="10"/>
      <c r="L36" s="2"/>
      <c r="M36" s="2"/>
      <c r="N36" s="2"/>
      <c r="O36" s="2"/>
      <c r="P36" s="2"/>
      <c r="Q36" s="2"/>
      <c r="R36" s="2"/>
      <c r="S36" s="2"/>
      <c r="T36" s="2"/>
      <c r="U36" s="2"/>
      <c r="V36" s="2"/>
      <c r="W36" s="2"/>
      <c r="X36" s="2"/>
    </row>
    <row r="37" spans="1:24" s="25" customFormat="1" ht="12">
      <c r="A37"/>
      <c r="B37" s="214"/>
      <c r="C37"/>
      <c r="D37"/>
      <c r="E37" s="2"/>
      <c r="F37" s="2"/>
      <c r="G37" s="2"/>
      <c r="H37" s="2"/>
      <c r="I37" s="2"/>
      <c r="J37" s="2"/>
      <c r="K37" s="10"/>
      <c r="L37" s="2"/>
      <c r="M37" s="2"/>
      <c r="N37" s="2"/>
      <c r="O37" s="2"/>
      <c r="P37" s="2"/>
      <c r="Q37" s="2"/>
      <c r="R37" s="2"/>
      <c r="S37" s="2"/>
      <c r="T37" s="2"/>
      <c r="U37" s="2"/>
      <c r="V37" s="2"/>
      <c r="W37" s="2"/>
      <c r="X37" s="2"/>
    </row>
    <row r="38" ht="12">
      <c r="B38" s="8"/>
    </row>
    <row r="39" ht="12">
      <c r="B39" s="8"/>
    </row>
    <row r="40" ht="12">
      <c r="B40" s="8"/>
    </row>
    <row r="41" ht="12">
      <c r="B41" s="8"/>
    </row>
    <row r="42" ht="12">
      <c r="B42" s="8"/>
    </row>
    <row r="43" ht="12">
      <c r="B43" s="8"/>
    </row>
    <row r="44" ht="12">
      <c r="B44" s="8"/>
    </row>
    <row r="45" ht="12">
      <c r="B45" s="8"/>
    </row>
    <row r="46" ht="12">
      <c r="B46" s="8"/>
    </row>
    <row r="47" ht="12">
      <c r="B47" s="8"/>
    </row>
    <row r="48" ht="12">
      <c r="B48" s="8"/>
    </row>
    <row r="49" ht="12">
      <c r="B49" s="8"/>
    </row>
    <row r="50" ht="12">
      <c r="B50" s="8"/>
    </row>
    <row r="51" ht="12">
      <c r="B51" s="8"/>
    </row>
    <row r="52" ht="12">
      <c r="B52" s="8"/>
    </row>
    <row r="53" ht="12">
      <c r="B53" s="8"/>
    </row>
    <row r="54" ht="12">
      <c r="B54" s="8"/>
    </row>
    <row r="55" ht="12">
      <c r="B55" s="8"/>
    </row>
    <row r="56" ht="12">
      <c r="B56" s="8"/>
    </row>
    <row r="57" ht="12">
      <c r="B57" s="8"/>
    </row>
    <row r="58" ht="12">
      <c r="B58" s="8"/>
    </row>
    <row r="59" ht="12">
      <c r="B59" s="8"/>
    </row>
    <row r="60" ht="12">
      <c r="B60" s="8"/>
    </row>
    <row r="61" ht="12">
      <c r="B61" s="8"/>
    </row>
    <row r="62" ht="12">
      <c r="B62" s="8"/>
    </row>
    <row r="63" ht="12">
      <c r="B63" s="8"/>
    </row>
    <row r="64" ht="12">
      <c r="B64" s="8"/>
    </row>
    <row r="65" ht="12">
      <c r="B65" s="8"/>
    </row>
    <row r="66" ht="12">
      <c r="B66" s="8"/>
    </row>
    <row r="67" ht="12">
      <c r="B67" s="8"/>
    </row>
    <row r="68" ht="12">
      <c r="B68" s="8"/>
    </row>
    <row r="69" ht="12">
      <c r="B69" s="8"/>
    </row>
    <row r="70" ht="12">
      <c r="B70" s="8"/>
    </row>
    <row r="71" ht="12">
      <c r="B71" s="8"/>
    </row>
    <row r="72" ht="12">
      <c r="B72" s="8"/>
    </row>
    <row r="73" ht="12">
      <c r="B73" s="8"/>
    </row>
  </sheetData>
  <sheetProtection/>
  <printOptions/>
  <pageMargins left="0.75" right="0.75" top="1" bottom="1" header="0.492125985" footer="0.492125985"/>
  <pageSetup orientation="portrait" paperSize="10"/>
  <drawing r:id="rId1"/>
</worksheet>
</file>

<file path=xl/worksheets/sheet3.xml><?xml version="1.0" encoding="utf-8"?>
<worksheet xmlns="http://schemas.openxmlformats.org/spreadsheetml/2006/main" xmlns:r="http://schemas.openxmlformats.org/officeDocument/2006/relationships">
  <dimension ref="A2:Q29"/>
  <sheetViews>
    <sheetView showGridLines="0" zoomScale="125" zoomScaleNormal="125" workbookViewId="0" topLeftCell="B2">
      <selection activeCell="E16" sqref="E16"/>
    </sheetView>
  </sheetViews>
  <sheetFormatPr defaultColWidth="8.8515625" defaultRowHeight="12.75"/>
  <cols>
    <col min="1" max="1" width="13.00390625" style="0" customWidth="1"/>
    <col min="2" max="3" width="8.8515625" style="0" customWidth="1"/>
    <col min="4" max="4" width="10.00390625" style="0" bestFit="1" customWidth="1"/>
    <col min="5" max="5" width="15.421875" style="0" customWidth="1"/>
    <col min="6" max="6" width="10.140625" style="0" bestFit="1" customWidth="1"/>
    <col min="7" max="7" width="9.8515625" style="0" bestFit="1" customWidth="1"/>
  </cols>
  <sheetData>
    <row r="2" ht="12.75">
      <c r="B2" s="311"/>
    </row>
    <row r="6" spans="1:2" ht="12">
      <c r="A6" t="s">
        <v>134</v>
      </c>
      <c r="B6" t="str">
        <f>'CER flow'!B6</f>
        <v>Project Kamojang 5 PT. Pertamina Geothermal Energy </v>
      </c>
    </row>
    <row r="7" spans="1:2" ht="12">
      <c r="A7" t="s">
        <v>135</v>
      </c>
      <c r="B7" s="311">
        <f>'CER flow'!B7</f>
        <v>2.3</v>
      </c>
    </row>
    <row r="8" spans="1:2" ht="12">
      <c r="A8" t="s">
        <v>136</v>
      </c>
      <c r="B8" t="str">
        <f>'CER flow'!B8</f>
        <v>Arrie Tjahyo Setiawan, Alin Pratidina</v>
      </c>
    </row>
    <row r="11" spans="1:13" ht="22.5">
      <c r="A11" s="72"/>
      <c r="B11" s="72"/>
      <c r="C11" s="73" t="s">
        <v>183</v>
      </c>
      <c r="D11" s="73"/>
      <c r="E11" s="73"/>
      <c r="F11" s="74"/>
      <c r="G11" s="74"/>
      <c r="H11" s="72"/>
      <c r="I11" s="74"/>
      <c r="J11" s="74"/>
      <c r="K11" s="72"/>
      <c r="L11" s="72"/>
      <c r="M11" s="72"/>
    </row>
    <row r="12" spans="1:13" ht="12.75" thickBot="1">
      <c r="A12" s="63"/>
      <c r="B12" s="63"/>
      <c r="C12" s="63"/>
      <c r="D12" s="63"/>
      <c r="E12" s="63"/>
      <c r="F12" s="63"/>
      <c r="G12" s="63"/>
      <c r="H12" s="63"/>
      <c r="I12" s="63"/>
      <c r="J12" s="63"/>
      <c r="K12" s="63"/>
      <c r="L12" s="63"/>
      <c r="M12" s="63"/>
    </row>
    <row r="13" spans="1:13" ht="18" thickBot="1">
      <c r="A13" s="63"/>
      <c r="B13" s="474" t="s">
        <v>18</v>
      </c>
      <c r="C13" s="475"/>
      <c r="D13" s="475"/>
      <c r="E13" s="476"/>
      <c r="F13" s="75" t="s">
        <v>149</v>
      </c>
      <c r="G13" s="76"/>
      <c r="H13" s="76"/>
      <c r="I13" s="76"/>
      <c r="J13" s="76"/>
      <c r="K13" s="76"/>
      <c r="L13" s="77"/>
      <c r="M13" s="63"/>
    </row>
    <row r="14" spans="1:13" ht="16.5">
      <c r="A14" s="63"/>
      <c r="B14" s="78"/>
      <c r="C14" s="79" t="s">
        <v>165</v>
      </c>
      <c r="D14" s="446">
        <f>ROUNDUP(F16,0)</f>
        <v>18355</v>
      </c>
      <c r="E14" s="80" t="s">
        <v>119</v>
      </c>
      <c r="F14" s="81"/>
      <c r="G14" s="82"/>
      <c r="H14" s="82"/>
      <c r="I14" s="82"/>
      <c r="J14" s="82"/>
      <c r="K14" s="82"/>
      <c r="L14" s="83"/>
      <c r="M14" s="63"/>
    </row>
    <row r="15" spans="1:13" ht="20.25" customHeight="1">
      <c r="A15" s="63"/>
      <c r="B15" s="84"/>
      <c r="C15" s="63"/>
      <c r="D15" s="85" t="s">
        <v>166</v>
      </c>
      <c r="F15" s="20"/>
      <c r="G15" s="20"/>
      <c r="H15" s="82"/>
      <c r="I15" s="82"/>
      <c r="J15" s="82"/>
      <c r="K15" s="82"/>
      <c r="L15" s="83"/>
      <c r="M15" s="63"/>
    </row>
    <row r="16" spans="1:13" ht="18.75">
      <c r="A16" s="63"/>
      <c r="B16" s="84"/>
      <c r="C16" s="63"/>
      <c r="D16" s="85" t="s">
        <v>173</v>
      </c>
      <c r="E16" s="93" t="s">
        <v>153</v>
      </c>
      <c r="F16" s="463">
        <f>D20</f>
        <v>18354.03765051456</v>
      </c>
      <c r="G16" s="87" t="s">
        <v>119</v>
      </c>
      <c r="H16" s="82"/>
      <c r="I16" s="82"/>
      <c r="J16" s="82"/>
      <c r="K16" s="82"/>
      <c r="L16" s="83"/>
      <c r="M16" s="63"/>
    </row>
    <row r="17" spans="1:13" ht="12.75" thickBot="1">
      <c r="A17" s="63"/>
      <c r="B17" s="89"/>
      <c r="C17" s="90"/>
      <c r="D17" s="90"/>
      <c r="E17" s="90"/>
      <c r="F17" s="90"/>
      <c r="G17" s="91"/>
      <c r="H17" s="90"/>
      <c r="I17" s="90"/>
      <c r="J17" s="90"/>
      <c r="K17" s="90"/>
      <c r="L17" s="92"/>
      <c r="M17" s="63"/>
    </row>
    <row r="18" spans="1:13" ht="12">
      <c r="A18" s="63"/>
      <c r="B18" s="63"/>
      <c r="C18" s="63"/>
      <c r="D18" s="63"/>
      <c r="E18" s="63"/>
      <c r="F18" s="63"/>
      <c r="G18" s="63"/>
      <c r="H18" s="63"/>
      <c r="I18" s="63"/>
      <c r="J18" s="63"/>
      <c r="K18" s="63"/>
      <c r="L18" s="63"/>
      <c r="M18" s="63"/>
    </row>
    <row r="19" spans="1:17" ht="16.5">
      <c r="A19" s="63"/>
      <c r="B19" s="472" t="s">
        <v>16</v>
      </c>
      <c r="C19" s="473"/>
      <c r="D19" s="473"/>
      <c r="E19" s="473"/>
      <c r="F19" s="473"/>
      <c r="G19" s="473"/>
      <c r="H19" s="473"/>
      <c r="I19" s="473"/>
      <c r="J19" s="473"/>
      <c r="K19" s="473"/>
      <c r="L19" s="473"/>
      <c r="M19" s="473"/>
      <c r="N19" s="473"/>
      <c r="O19" s="473"/>
      <c r="P19" s="473"/>
      <c r="Q19" s="473"/>
    </row>
    <row r="20" spans="1:13" ht="18.75">
      <c r="A20" s="63"/>
      <c r="B20" s="78"/>
      <c r="C20" s="93" t="s">
        <v>153</v>
      </c>
      <c r="D20" s="444">
        <f>(F22*F24)+(F23*F24*F25)</f>
        <v>18354.03765051456</v>
      </c>
      <c r="E20" s="94" t="s">
        <v>119</v>
      </c>
      <c r="F20" s="81"/>
      <c r="G20" s="82"/>
      <c r="H20" s="82"/>
      <c r="I20" s="82"/>
      <c r="J20" s="82"/>
      <c r="K20" s="82"/>
      <c r="L20" s="83"/>
      <c r="M20" s="63"/>
    </row>
    <row r="21" spans="1:13" ht="12.75">
      <c r="A21" s="63"/>
      <c r="B21" s="84"/>
      <c r="C21" s="63"/>
      <c r="D21" s="95" t="s">
        <v>166</v>
      </c>
      <c r="F21" s="20"/>
      <c r="G21" s="82"/>
      <c r="H21" s="82"/>
      <c r="I21" s="82"/>
      <c r="J21" s="20"/>
      <c r="K21" s="82"/>
      <c r="L21" s="83"/>
      <c r="M21" s="63"/>
    </row>
    <row r="22" spans="1:13" ht="56.25">
      <c r="A22" s="63"/>
      <c r="B22" s="84"/>
      <c r="C22" s="63"/>
      <c r="D22" s="96" t="s">
        <v>173</v>
      </c>
      <c r="E22" s="99" t="s">
        <v>154</v>
      </c>
      <c r="F22" s="98">
        <f>Summary!E31</f>
        <v>0.0089467023</v>
      </c>
      <c r="G22" s="87" t="s">
        <v>185</v>
      </c>
      <c r="H22" s="82"/>
      <c r="I22" s="82"/>
      <c r="J22" s="82"/>
      <c r="K22" s="82"/>
      <c r="L22" s="83"/>
      <c r="M22" s="63"/>
    </row>
    <row r="23" spans="1:13" ht="27.75">
      <c r="A23" s="63"/>
      <c r="B23" s="84"/>
      <c r="C23" s="88"/>
      <c r="D23" s="63"/>
      <c r="E23" s="99" t="s">
        <v>36</v>
      </c>
      <c r="F23" s="98">
        <f>Summary!E32</f>
        <v>9.7278E-06</v>
      </c>
      <c r="G23" s="87" t="s">
        <v>185</v>
      </c>
      <c r="H23" s="82"/>
      <c r="I23" s="82"/>
      <c r="J23" s="82"/>
      <c r="K23" s="82"/>
      <c r="L23" s="83"/>
      <c r="M23" s="63"/>
    </row>
    <row r="24" spans="1:13" ht="15">
      <c r="A24" s="63"/>
      <c r="B24" s="84"/>
      <c r="C24" s="88"/>
      <c r="D24" s="63"/>
      <c r="E24" s="99" t="s">
        <v>37</v>
      </c>
      <c r="F24" s="97">
        <f>Summary!E30</f>
        <v>2005689.6</v>
      </c>
      <c r="G24" s="87" t="s">
        <v>148</v>
      </c>
      <c r="H24" s="82"/>
      <c r="I24" s="82"/>
      <c r="J24" s="82"/>
      <c r="K24" s="82"/>
      <c r="L24" s="83"/>
      <c r="M24" s="63"/>
    </row>
    <row r="25" spans="1:13" ht="27.75">
      <c r="A25" s="63"/>
      <c r="B25" s="84"/>
      <c r="C25" s="88"/>
      <c r="D25" s="63"/>
      <c r="E25" s="99" t="s">
        <v>71</v>
      </c>
      <c r="F25" s="86">
        <v>21</v>
      </c>
      <c r="G25" s="87" t="s">
        <v>230</v>
      </c>
      <c r="H25" s="82"/>
      <c r="I25" s="82"/>
      <c r="J25" s="82"/>
      <c r="K25" s="82"/>
      <c r="L25" s="83"/>
      <c r="M25" s="63"/>
    </row>
    <row r="26" spans="1:13" ht="12.75" thickBot="1">
      <c r="A26" s="63"/>
      <c r="B26" s="89"/>
      <c r="C26" s="90"/>
      <c r="D26" s="90"/>
      <c r="E26" s="90"/>
      <c r="F26" s="90"/>
      <c r="G26" s="91"/>
      <c r="H26" s="90"/>
      <c r="I26" s="90"/>
      <c r="J26" s="90"/>
      <c r="K26" s="90"/>
      <c r="L26" s="92"/>
      <c r="M26" s="63"/>
    </row>
    <row r="27" spans="1:13" ht="12">
      <c r="A27" s="63"/>
      <c r="B27" s="63"/>
      <c r="C27" s="63"/>
      <c r="D27" s="63"/>
      <c r="E27" s="63"/>
      <c r="F27" s="63"/>
      <c r="G27" s="63"/>
      <c r="H27" s="63"/>
      <c r="I27" s="63"/>
      <c r="J27" s="63"/>
      <c r="K27" s="63"/>
      <c r="L27" s="63"/>
      <c r="M27" s="63"/>
    </row>
    <row r="28" spans="1:13" ht="12">
      <c r="A28" s="63"/>
      <c r="B28" s="63"/>
      <c r="C28" s="63"/>
      <c r="D28" s="63"/>
      <c r="E28" s="63"/>
      <c r="F28" s="63"/>
      <c r="G28" s="63"/>
      <c r="H28" s="63"/>
      <c r="I28" s="63"/>
      <c r="J28" s="63"/>
      <c r="K28" s="63"/>
      <c r="L28" s="63"/>
      <c r="M28" s="63"/>
    </row>
    <row r="29" spans="1:13" ht="12">
      <c r="A29" s="63"/>
      <c r="B29" s="63"/>
      <c r="C29" s="63"/>
      <c r="D29" s="63"/>
      <c r="E29" s="63"/>
      <c r="F29" s="63"/>
      <c r="G29" s="63"/>
      <c r="H29" s="63"/>
      <c r="I29" s="63"/>
      <c r="J29" s="63"/>
      <c r="K29" s="63"/>
      <c r="L29" s="63"/>
      <c r="M29" s="63"/>
    </row>
  </sheetData>
  <sheetProtection/>
  <mergeCells count="2">
    <mergeCell ref="B19:Q19"/>
    <mergeCell ref="B13:E13"/>
  </mergeCells>
  <printOptions/>
  <pageMargins left="0.75" right="0.75" top="1" bottom="1" header="0.5" footer="0.5"/>
  <pageSetup orientation="portrait" paperSize="10"/>
  <drawing r:id="rId1"/>
</worksheet>
</file>

<file path=xl/worksheets/sheet4.xml><?xml version="1.0" encoding="utf-8"?>
<worksheet xmlns="http://schemas.openxmlformats.org/spreadsheetml/2006/main" xmlns:r="http://schemas.openxmlformats.org/officeDocument/2006/relationships">
  <dimension ref="A6:M35"/>
  <sheetViews>
    <sheetView showGridLines="0" zoomScale="125" zoomScaleNormal="125" workbookViewId="0" topLeftCell="A21">
      <selection activeCell="F28" sqref="F28"/>
    </sheetView>
  </sheetViews>
  <sheetFormatPr defaultColWidth="8.8515625" defaultRowHeight="12.75"/>
  <cols>
    <col min="1" max="1" width="2.140625" style="0" customWidth="1"/>
    <col min="2" max="2" width="23.28125" style="0" customWidth="1"/>
    <col min="3" max="3" width="15.7109375" style="0" customWidth="1"/>
    <col min="4" max="6" width="15.8515625" style="0" customWidth="1"/>
    <col min="7" max="7" width="34.28125" style="0" customWidth="1"/>
    <col min="8" max="8" width="14.421875" style="0" bestFit="1" customWidth="1"/>
    <col min="9" max="9" width="15.421875" style="0" customWidth="1"/>
    <col min="10" max="10" width="13.8515625" style="0" bestFit="1" customWidth="1"/>
  </cols>
  <sheetData>
    <row r="6" spans="1:3" ht="12">
      <c r="A6" t="s">
        <v>134</v>
      </c>
      <c r="C6" t="str">
        <f>'Proj Emissions'!B6</f>
        <v>Project Kamojang 5 PT. Pertamina Geothermal Energy </v>
      </c>
    </row>
    <row r="7" spans="1:3" ht="12">
      <c r="A7" t="s">
        <v>135</v>
      </c>
      <c r="B7" s="311"/>
      <c r="C7" s="311">
        <f>'Proj Emissions'!B7</f>
        <v>2.3</v>
      </c>
    </row>
    <row r="8" spans="1:3" ht="12">
      <c r="A8" t="s">
        <v>136</v>
      </c>
      <c r="C8" t="str">
        <f>'Proj Emissions'!B8</f>
        <v>Arrie Tjahyo Setiawan, Alin Pratidina</v>
      </c>
    </row>
    <row r="11" spans="2:3" s="60" customFormat="1" ht="22.5">
      <c r="B11" s="61" t="s">
        <v>280</v>
      </c>
      <c r="C11" s="61"/>
    </row>
    <row r="13" s="276" customFormat="1" ht="16.5" customHeight="1"/>
    <row r="14" spans="1:6" s="276" customFormat="1" ht="12.75" thickBot="1">
      <c r="A14" s="279"/>
      <c r="B14" s="277" t="s">
        <v>58</v>
      </c>
      <c r="C14" s="277"/>
      <c r="D14" s="278"/>
      <c r="E14" s="278"/>
      <c r="F14" s="278"/>
    </row>
    <row r="15" spans="1:4" s="276" customFormat="1" ht="12">
      <c r="A15" s="279"/>
      <c r="B15" s="452"/>
      <c r="C15" s="453" t="s">
        <v>11</v>
      </c>
      <c r="D15" s="287"/>
    </row>
    <row r="16" spans="1:4" s="276" customFormat="1" ht="128.25">
      <c r="A16" s="279"/>
      <c r="B16" s="288" t="s">
        <v>170</v>
      </c>
      <c r="C16" s="289">
        <f>Summary!E36</f>
        <v>0.712</v>
      </c>
      <c r="D16" s="287"/>
    </row>
    <row r="17" spans="1:4" s="276" customFormat="1" ht="128.25">
      <c r="A17" s="279"/>
      <c r="B17" s="288" t="s">
        <v>63</v>
      </c>
      <c r="C17" s="289">
        <f>Summary!E37</f>
        <v>0.769</v>
      </c>
      <c r="D17" s="287"/>
    </row>
    <row r="18" spans="2:4" s="276" customFormat="1" ht="84">
      <c r="B18" s="288" t="s">
        <v>96</v>
      </c>
      <c r="C18" s="289">
        <f>Summary!E38</f>
        <v>0.74</v>
      </c>
      <c r="D18" s="290"/>
    </row>
    <row r="19" spans="2:4" s="276" customFormat="1" ht="48">
      <c r="B19" s="445" t="s">
        <v>97</v>
      </c>
      <c r="C19" s="286">
        <f>Summary!E29</f>
        <v>236520</v>
      </c>
      <c r="D19" s="290"/>
    </row>
    <row r="20" spans="2:4" s="276" customFormat="1" ht="72">
      <c r="B20" s="288" t="s">
        <v>85</v>
      </c>
      <c r="C20" s="286">
        <f>C19</f>
        <v>236520</v>
      </c>
      <c r="D20" s="290"/>
    </row>
    <row r="21" spans="2:4" s="276" customFormat="1" ht="24.75" thickBot="1">
      <c r="B21" s="291" t="s">
        <v>86</v>
      </c>
      <c r="C21" s="447">
        <f>'CER flow'!C23</f>
        <v>175024</v>
      </c>
      <c r="D21" s="290"/>
    </row>
    <row r="22" s="276" customFormat="1" ht="12">
      <c r="E22" s="279"/>
    </row>
    <row r="23" spans="5:6" s="276" customFormat="1" ht="12">
      <c r="E23" s="287"/>
      <c r="F23" s="287"/>
    </row>
    <row r="24" spans="2:6" s="276" customFormat="1" ht="12.75" thickBot="1">
      <c r="B24" s="277" t="s">
        <v>296</v>
      </c>
      <c r="C24" s="277"/>
      <c r="D24" s="278"/>
      <c r="E24" s="278"/>
      <c r="F24" s="278"/>
    </row>
    <row r="25" spans="2:6" s="276" customFormat="1" ht="36">
      <c r="B25" s="284" t="s">
        <v>17</v>
      </c>
      <c r="C25" s="293" t="s">
        <v>179</v>
      </c>
      <c r="D25" s="293" t="s">
        <v>180</v>
      </c>
      <c r="E25" s="293" t="s">
        <v>2</v>
      </c>
      <c r="F25" s="294" t="s">
        <v>3</v>
      </c>
    </row>
    <row r="26" spans="2:6" s="276" customFormat="1" ht="12">
      <c r="B26" s="285" t="s">
        <v>266</v>
      </c>
      <c r="C26" s="295">
        <f>C21</f>
        <v>175024</v>
      </c>
      <c r="D26" s="295">
        <f>'CER flow'!C27</f>
        <v>18355</v>
      </c>
      <c r="E26" s="296">
        <v>0</v>
      </c>
      <c r="F26" s="286">
        <f aca="true" t="shared" si="0" ref="F26:F32">C26-D26-E26</f>
        <v>156669</v>
      </c>
    </row>
    <row r="27" spans="2:13" s="276" customFormat="1" ht="12">
      <c r="B27" s="285" t="s">
        <v>267</v>
      </c>
      <c r="C27" s="295">
        <f aca="true" t="shared" si="1" ref="C27:D32">C26</f>
        <v>175024</v>
      </c>
      <c r="D27" s="295">
        <f t="shared" si="1"/>
        <v>18355</v>
      </c>
      <c r="E27" s="296">
        <v>0</v>
      </c>
      <c r="F27" s="286">
        <f t="shared" si="0"/>
        <v>156669</v>
      </c>
      <c r="K27" s="280"/>
      <c r="L27" s="280"/>
      <c r="M27" s="280"/>
    </row>
    <row r="28" spans="1:6" s="276" customFormat="1" ht="12">
      <c r="A28" s="279"/>
      <c r="B28" s="285" t="s">
        <v>174</v>
      </c>
      <c r="C28" s="295">
        <f t="shared" si="1"/>
        <v>175024</v>
      </c>
      <c r="D28" s="295">
        <f t="shared" si="1"/>
        <v>18355</v>
      </c>
      <c r="E28" s="296">
        <v>0</v>
      </c>
      <c r="F28" s="286">
        <f t="shared" si="0"/>
        <v>156669</v>
      </c>
    </row>
    <row r="29" spans="1:6" s="276" customFormat="1" ht="15" customHeight="1">
      <c r="A29" s="279"/>
      <c r="B29" s="285" t="s">
        <v>175</v>
      </c>
      <c r="C29" s="295">
        <f t="shared" si="1"/>
        <v>175024</v>
      </c>
      <c r="D29" s="295">
        <f t="shared" si="1"/>
        <v>18355</v>
      </c>
      <c r="E29" s="296">
        <v>0</v>
      </c>
      <c r="F29" s="286">
        <f t="shared" si="0"/>
        <v>156669</v>
      </c>
    </row>
    <row r="30" spans="1:6" s="276" customFormat="1" ht="15" customHeight="1">
      <c r="A30" s="279"/>
      <c r="B30" s="285" t="s">
        <v>176</v>
      </c>
      <c r="C30" s="295">
        <f t="shared" si="1"/>
        <v>175024</v>
      </c>
      <c r="D30" s="295">
        <f t="shared" si="1"/>
        <v>18355</v>
      </c>
      <c r="E30" s="296">
        <v>0</v>
      </c>
      <c r="F30" s="286">
        <f t="shared" si="0"/>
        <v>156669</v>
      </c>
    </row>
    <row r="31" spans="1:6" s="276" customFormat="1" ht="15" customHeight="1">
      <c r="A31" s="279"/>
      <c r="B31" s="285" t="s">
        <v>177</v>
      </c>
      <c r="C31" s="295">
        <f t="shared" si="1"/>
        <v>175024</v>
      </c>
      <c r="D31" s="295">
        <f t="shared" si="1"/>
        <v>18355</v>
      </c>
      <c r="E31" s="296">
        <v>0</v>
      </c>
      <c r="F31" s="286">
        <f t="shared" si="0"/>
        <v>156669</v>
      </c>
    </row>
    <row r="32" spans="1:6" s="276" customFormat="1" ht="15" customHeight="1">
      <c r="A32" s="279"/>
      <c r="B32" s="285" t="s">
        <v>178</v>
      </c>
      <c r="C32" s="295">
        <f t="shared" si="1"/>
        <v>175024</v>
      </c>
      <c r="D32" s="295">
        <f t="shared" si="1"/>
        <v>18355</v>
      </c>
      <c r="E32" s="296">
        <v>0</v>
      </c>
      <c r="F32" s="286">
        <f t="shared" si="0"/>
        <v>156669</v>
      </c>
    </row>
    <row r="33" spans="1:13" s="280" customFormat="1" ht="12.75" thickBot="1">
      <c r="A33" s="281"/>
      <c r="B33" s="297" t="s">
        <v>72</v>
      </c>
      <c r="C33" s="298">
        <f>SUM(C26:C32)</f>
        <v>1225168</v>
      </c>
      <c r="D33" s="298">
        <f>SUM(D26:D32)</f>
        <v>128485</v>
      </c>
      <c r="E33" s="299">
        <f>SUM(E26:E32)</f>
        <v>0</v>
      </c>
      <c r="F33" s="292">
        <f>SUM(F26:F32)</f>
        <v>1096683</v>
      </c>
      <c r="G33" s="276"/>
      <c r="I33" s="276"/>
      <c r="J33" s="276"/>
      <c r="K33" s="276"/>
      <c r="L33" s="276"/>
      <c r="M33" s="276"/>
    </row>
    <row r="34" s="276" customFormat="1" ht="12">
      <c r="F34" s="282"/>
    </row>
    <row r="35" spans="2:13" s="283" customFormat="1" ht="12">
      <c r="B35" s="276"/>
      <c r="C35" s="276"/>
      <c r="D35" s="276"/>
      <c r="G35" s="276"/>
      <c r="H35" s="276"/>
      <c r="I35" s="276"/>
      <c r="J35" s="276"/>
      <c r="K35" s="276"/>
      <c r="L35" s="276"/>
      <c r="M35" s="276"/>
    </row>
  </sheetData>
  <sheetProtection/>
  <printOptions/>
  <pageMargins left="0.75" right="0.75" top="1" bottom="1" header="0.5" footer="0.5"/>
  <pageSetup orientation="portrait" paperSize="10"/>
  <drawing r:id="rId1"/>
</worksheet>
</file>

<file path=xl/worksheets/sheet5.xml><?xml version="1.0" encoding="utf-8"?>
<worksheet xmlns="http://schemas.openxmlformats.org/spreadsheetml/2006/main" xmlns:r="http://schemas.openxmlformats.org/officeDocument/2006/relationships">
  <dimension ref="A1:Q18"/>
  <sheetViews>
    <sheetView workbookViewId="0" topLeftCell="A1">
      <selection activeCell="A1" sqref="A1"/>
    </sheetView>
  </sheetViews>
  <sheetFormatPr defaultColWidth="8.8515625" defaultRowHeight="12.75"/>
  <cols>
    <col min="1" max="1" width="8.8515625" style="0" customWidth="1"/>
    <col min="2" max="2" width="12.7109375" style="0" customWidth="1"/>
  </cols>
  <sheetData>
    <row r="1" spans="1:9" ht="12">
      <c r="A1" s="12" t="s">
        <v>300</v>
      </c>
      <c r="B1" s="12"/>
      <c r="C1" s="12"/>
      <c r="D1" s="12"/>
      <c r="E1" s="12"/>
      <c r="F1" s="12"/>
      <c r="G1" s="12"/>
      <c r="H1" s="12"/>
      <c r="I1" s="12"/>
    </row>
    <row r="2" spans="1:9" ht="12">
      <c r="A2" s="12" t="s">
        <v>301</v>
      </c>
      <c r="B2" s="12"/>
      <c r="C2" s="12"/>
      <c r="D2" s="12"/>
      <c r="E2" s="12"/>
      <c r="F2" s="12"/>
      <c r="G2" s="12"/>
      <c r="H2" s="12"/>
      <c r="I2" s="12"/>
    </row>
    <row r="4" spans="1:4" ht="12">
      <c r="A4" t="s">
        <v>47</v>
      </c>
      <c r="D4" t="s">
        <v>120</v>
      </c>
    </row>
    <row r="5" spans="3:17" ht="12">
      <c r="C5" s="15" t="s">
        <v>121</v>
      </c>
      <c r="D5">
        <v>1999</v>
      </c>
      <c r="E5">
        <v>2000</v>
      </c>
      <c r="F5">
        <v>2001</v>
      </c>
      <c r="G5">
        <v>2002</v>
      </c>
      <c r="H5">
        <v>2003</v>
      </c>
      <c r="I5">
        <v>2004</v>
      </c>
      <c r="J5">
        <v>2005</v>
      </c>
      <c r="K5">
        <v>2006</v>
      </c>
      <c r="L5">
        <v>2007</v>
      </c>
      <c r="M5">
        <v>2008</v>
      </c>
      <c r="N5">
        <v>2009</v>
      </c>
      <c r="O5">
        <v>2010</v>
      </c>
      <c r="P5">
        <v>2011</v>
      </c>
      <c r="Q5">
        <v>2012</v>
      </c>
    </row>
    <row r="6" spans="2:17" ht="12">
      <c r="B6" t="s">
        <v>122</v>
      </c>
      <c r="C6" s="39">
        <f aca="true" t="shared" si="0" ref="C6:C18">SUM(D6:Q6)/14</f>
        <v>0.46449999999999997</v>
      </c>
      <c r="D6">
        <v>0.486</v>
      </c>
      <c r="E6">
        <v>0.483</v>
      </c>
      <c r="F6">
        <v>0.48</v>
      </c>
      <c r="G6">
        <v>0.476</v>
      </c>
      <c r="H6">
        <v>0.473</v>
      </c>
      <c r="I6">
        <v>0.47</v>
      </c>
      <c r="J6">
        <v>0.466</v>
      </c>
      <c r="K6">
        <v>0.463</v>
      </c>
      <c r="L6">
        <v>0.459</v>
      </c>
      <c r="M6">
        <v>0.456</v>
      </c>
      <c r="N6">
        <v>0.453</v>
      </c>
      <c r="O6">
        <v>0.449</v>
      </c>
      <c r="P6">
        <v>0.446</v>
      </c>
      <c r="Q6">
        <v>0.443</v>
      </c>
    </row>
    <row r="7" spans="2:17" ht="12">
      <c r="B7" t="s">
        <v>288</v>
      </c>
      <c r="C7" s="39">
        <f t="shared" si="0"/>
        <v>0.7015000000000001</v>
      </c>
      <c r="D7">
        <v>0.786</v>
      </c>
      <c r="E7">
        <v>0.773</v>
      </c>
      <c r="F7">
        <v>0.76</v>
      </c>
      <c r="G7">
        <v>0.747</v>
      </c>
      <c r="H7">
        <v>0.734</v>
      </c>
      <c r="I7">
        <v>0.721</v>
      </c>
      <c r="J7">
        <v>0.708</v>
      </c>
      <c r="K7">
        <v>0.695</v>
      </c>
      <c r="L7">
        <v>0.682</v>
      </c>
      <c r="M7">
        <v>0.669</v>
      </c>
      <c r="N7">
        <v>0.656</v>
      </c>
      <c r="O7">
        <v>0.643</v>
      </c>
      <c r="P7">
        <v>0.63</v>
      </c>
      <c r="Q7">
        <v>0.617</v>
      </c>
    </row>
    <row r="8" spans="2:17" ht="12">
      <c r="B8" t="s">
        <v>269</v>
      </c>
      <c r="C8" s="39">
        <f t="shared" si="0"/>
        <v>0.6014999999999999</v>
      </c>
      <c r="D8">
        <v>0.66</v>
      </c>
      <c r="E8">
        <v>0.651</v>
      </c>
      <c r="F8">
        <v>0.642</v>
      </c>
      <c r="G8">
        <v>0.633</v>
      </c>
      <c r="H8">
        <v>0.624</v>
      </c>
      <c r="I8">
        <v>0.615</v>
      </c>
      <c r="J8">
        <v>0.606</v>
      </c>
      <c r="K8">
        <v>0.597</v>
      </c>
      <c r="L8">
        <v>0.588</v>
      </c>
      <c r="M8">
        <v>0.579</v>
      </c>
      <c r="N8">
        <v>0.57</v>
      </c>
      <c r="O8">
        <v>0.561</v>
      </c>
      <c r="P8">
        <v>0.552</v>
      </c>
      <c r="Q8">
        <v>0.543</v>
      </c>
    </row>
    <row r="9" spans="2:17" ht="12">
      <c r="B9" t="s">
        <v>270</v>
      </c>
      <c r="C9" s="39">
        <f t="shared" si="0"/>
        <v>0.6280000000000001</v>
      </c>
      <c r="D9">
        <v>0.693</v>
      </c>
      <c r="E9">
        <v>0.683</v>
      </c>
      <c r="F9">
        <v>0.673</v>
      </c>
      <c r="G9">
        <v>0.663</v>
      </c>
      <c r="H9">
        <v>0.653</v>
      </c>
      <c r="I9">
        <v>0.643</v>
      </c>
      <c r="J9">
        <v>0.633</v>
      </c>
      <c r="K9">
        <v>0.623</v>
      </c>
      <c r="L9">
        <v>0.613</v>
      </c>
      <c r="M9">
        <v>0.603</v>
      </c>
      <c r="N9">
        <v>0.593</v>
      </c>
      <c r="O9">
        <v>0.583</v>
      </c>
      <c r="P9">
        <v>0.573</v>
      </c>
      <c r="Q9">
        <v>0.563</v>
      </c>
    </row>
    <row r="10" spans="2:17" ht="12">
      <c r="B10" t="s">
        <v>271</v>
      </c>
      <c r="C10" s="39">
        <f t="shared" si="0"/>
        <v>0.6635</v>
      </c>
      <c r="D10">
        <v>0.738</v>
      </c>
      <c r="E10">
        <v>0.727</v>
      </c>
      <c r="F10">
        <v>0.715</v>
      </c>
      <c r="G10">
        <v>0.704</v>
      </c>
      <c r="H10">
        <v>0.692</v>
      </c>
      <c r="I10">
        <v>0.681</v>
      </c>
      <c r="J10">
        <v>0.669</v>
      </c>
      <c r="K10">
        <v>0.658</v>
      </c>
      <c r="L10">
        <v>0.646</v>
      </c>
      <c r="M10">
        <v>0.635</v>
      </c>
      <c r="N10">
        <v>0.623</v>
      </c>
      <c r="O10">
        <v>0.612</v>
      </c>
      <c r="P10">
        <v>0.6</v>
      </c>
      <c r="Q10">
        <v>0.589</v>
      </c>
    </row>
    <row r="11" spans="2:17" ht="12">
      <c r="B11" t="s">
        <v>181</v>
      </c>
      <c r="C11" s="39">
        <f t="shared" si="0"/>
        <v>0.6422142857142857</v>
      </c>
      <c r="D11">
        <v>0.711</v>
      </c>
      <c r="E11">
        <v>0.701</v>
      </c>
      <c r="F11">
        <v>0.69</v>
      </c>
      <c r="G11">
        <v>0.679</v>
      </c>
      <c r="H11">
        <v>0.669</v>
      </c>
      <c r="I11">
        <v>0.658</v>
      </c>
      <c r="J11">
        <v>0.648</v>
      </c>
      <c r="K11">
        <v>0.637</v>
      </c>
      <c r="L11">
        <v>0.626</v>
      </c>
      <c r="M11">
        <v>0.616</v>
      </c>
      <c r="N11">
        <v>0.605</v>
      </c>
      <c r="O11">
        <v>0.594</v>
      </c>
      <c r="P11">
        <v>0.584</v>
      </c>
      <c r="Q11">
        <v>0.573</v>
      </c>
    </row>
    <row r="12" spans="2:17" ht="12">
      <c r="B12" t="s">
        <v>162</v>
      </c>
      <c r="C12" s="39">
        <f t="shared" si="0"/>
        <v>0.42685714285714277</v>
      </c>
      <c r="D12">
        <v>0.439</v>
      </c>
      <c r="E12">
        <v>0.437</v>
      </c>
      <c r="F12">
        <v>0.435</v>
      </c>
      <c r="G12">
        <v>0.433</v>
      </c>
      <c r="H12">
        <v>0.431</v>
      </c>
      <c r="I12">
        <v>0.43</v>
      </c>
      <c r="J12">
        <v>0.428</v>
      </c>
      <c r="K12">
        <v>0.426</v>
      </c>
      <c r="L12">
        <v>0.424</v>
      </c>
      <c r="M12">
        <v>0.422</v>
      </c>
      <c r="N12">
        <v>0.42</v>
      </c>
      <c r="O12">
        <v>0.419</v>
      </c>
      <c r="P12">
        <v>0.417</v>
      </c>
      <c r="Q12">
        <v>0.415</v>
      </c>
    </row>
    <row r="13" spans="2:17" ht="12">
      <c r="B13" t="s">
        <v>163</v>
      </c>
      <c r="C13" s="39">
        <f t="shared" si="0"/>
        <v>0.6505000000000001</v>
      </c>
      <c r="D13">
        <v>0.722</v>
      </c>
      <c r="E13">
        <v>0.711</v>
      </c>
      <c r="F13">
        <v>0.7</v>
      </c>
      <c r="G13">
        <v>0.689</v>
      </c>
      <c r="H13">
        <v>0.678</v>
      </c>
      <c r="I13">
        <v>0.667</v>
      </c>
      <c r="J13">
        <v>0.656</v>
      </c>
      <c r="K13">
        <v>0.645</v>
      </c>
      <c r="L13">
        <v>0.634</v>
      </c>
      <c r="M13">
        <v>0.623</v>
      </c>
      <c r="N13">
        <v>0.612</v>
      </c>
      <c r="O13">
        <v>0.601</v>
      </c>
      <c r="P13">
        <v>0.59</v>
      </c>
      <c r="Q13">
        <v>0.579</v>
      </c>
    </row>
    <row r="14" spans="2:17" ht="12">
      <c r="B14" t="s">
        <v>83</v>
      </c>
      <c r="C14" s="39">
        <f t="shared" si="0"/>
        <v>0.6066428571428572</v>
      </c>
      <c r="D14">
        <v>0.666</v>
      </c>
      <c r="E14">
        <v>0.657</v>
      </c>
      <c r="F14">
        <v>0.648</v>
      </c>
      <c r="G14">
        <v>0.639</v>
      </c>
      <c r="H14">
        <v>0.63</v>
      </c>
      <c r="I14">
        <v>0.62</v>
      </c>
      <c r="J14">
        <v>0.611</v>
      </c>
      <c r="K14">
        <v>0.602</v>
      </c>
      <c r="L14">
        <v>0.593</v>
      </c>
      <c r="M14">
        <v>0.584</v>
      </c>
      <c r="N14">
        <v>0.575</v>
      </c>
      <c r="O14">
        <v>0.565</v>
      </c>
      <c r="P14">
        <v>0.556</v>
      </c>
      <c r="Q14">
        <v>0.547</v>
      </c>
    </row>
    <row r="15" spans="2:17" ht="12">
      <c r="B15" t="s">
        <v>84</v>
      </c>
      <c r="C15" s="39">
        <f t="shared" si="0"/>
        <v>0.5284285714285714</v>
      </c>
      <c r="D15">
        <v>0.567</v>
      </c>
      <c r="E15">
        <v>0.561</v>
      </c>
      <c r="F15">
        <v>0.555</v>
      </c>
      <c r="G15">
        <v>0.549</v>
      </c>
      <c r="H15">
        <v>0.543</v>
      </c>
      <c r="I15">
        <v>0.537</v>
      </c>
      <c r="J15">
        <v>0.531</v>
      </c>
      <c r="K15">
        <v>0.525</v>
      </c>
      <c r="L15">
        <v>0.52</v>
      </c>
      <c r="M15">
        <v>0.514</v>
      </c>
      <c r="N15">
        <v>0.508</v>
      </c>
      <c r="O15">
        <v>0.502</v>
      </c>
      <c r="P15">
        <v>0.496</v>
      </c>
      <c r="Q15">
        <v>0.49</v>
      </c>
    </row>
    <row r="16" spans="2:17" ht="12">
      <c r="B16" t="s">
        <v>207</v>
      </c>
      <c r="C16" s="39">
        <f t="shared" si="0"/>
        <v>0.5545</v>
      </c>
      <c r="D16">
        <v>0.6</v>
      </c>
      <c r="E16">
        <v>0.593</v>
      </c>
      <c r="F16">
        <v>0.586</v>
      </c>
      <c r="G16">
        <v>0.579</v>
      </c>
      <c r="H16">
        <v>0.572</v>
      </c>
      <c r="I16">
        <v>0.565</v>
      </c>
      <c r="J16">
        <v>0.558</v>
      </c>
      <c r="K16">
        <v>0.551</v>
      </c>
      <c r="L16">
        <v>0.544</v>
      </c>
      <c r="M16">
        <v>0.537</v>
      </c>
      <c r="N16">
        <v>0.53</v>
      </c>
      <c r="O16">
        <v>0.523</v>
      </c>
      <c r="P16">
        <v>0.516</v>
      </c>
      <c r="Q16">
        <v>0.509</v>
      </c>
    </row>
    <row r="17" spans="2:17" ht="12">
      <c r="B17" t="s">
        <v>214</v>
      </c>
      <c r="C17" s="39">
        <f t="shared" si="0"/>
        <v>0.674142857142857</v>
      </c>
      <c r="D17">
        <v>0.752</v>
      </c>
      <c r="E17">
        <v>0.74</v>
      </c>
      <c r="F17">
        <v>0.728</v>
      </c>
      <c r="G17">
        <v>0.716</v>
      </c>
      <c r="H17">
        <v>0.704</v>
      </c>
      <c r="I17">
        <v>0.692</v>
      </c>
      <c r="J17">
        <v>0.68</v>
      </c>
      <c r="K17">
        <v>0.668</v>
      </c>
      <c r="L17">
        <v>0.656</v>
      </c>
      <c r="M17">
        <v>0.644</v>
      </c>
      <c r="N17">
        <v>0.632</v>
      </c>
      <c r="O17">
        <v>0.62</v>
      </c>
      <c r="P17">
        <v>0.609</v>
      </c>
      <c r="Q17">
        <v>0.597</v>
      </c>
    </row>
    <row r="18" spans="2:17" ht="12">
      <c r="B18" t="s">
        <v>26</v>
      </c>
      <c r="C18" s="39">
        <f t="shared" si="0"/>
        <v>0.895142857142857</v>
      </c>
      <c r="D18">
        <v>1.031</v>
      </c>
      <c r="E18">
        <v>1.01</v>
      </c>
      <c r="F18">
        <v>0.989</v>
      </c>
      <c r="G18">
        <v>0.968</v>
      </c>
      <c r="H18">
        <v>0.947</v>
      </c>
      <c r="I18">
        <v>0.927</v>
      </c>
      <c r="J18">
        <v>0.906</v>
      </c>
      <c r="K18">
        <v>0.885</v>
      </c>
      <c r="L18">
        <v>0.864</v>
      </c>
      <c r="M18">
        <v>0.843</v>
      </c>
      <c r="N18">
        <v>0.822</v>
      </c>
      <c r="O18">
        <v>0.801</v>
      </c>
      <c r="P18">
        <v>0.78</v>
      </c>
      <c r="Q18">
        <v>0.759</v>
      </c>
    </row>
  </sheetData>
  <sheetProtection/>
  <printOptions/>
  <pageMargins left="0.75" right="0.75" top="1" bottom="1" header="0.5" footer="0.5"/>
  <pageSetup orientation="portrait"/>
</worksheet>
</file>

<file path=xl/worksheets/sheet6.xml><?xml version="1.0" encoding="utf-8"?>
<worksheet xmlns="http://schemas.openxmlformats.org/spreadsheetml/2006/main" xmlns:r="http://schemas.openxmlformats.org/officeDocument/2006/relationships">
  <dimension ref="A1:G26"/>
  <sheetViews>
    <sheetView workbookViewId="0" topLeftCell="A1">
      <selection activeCell="A1" sqref="A1"/>
    </sheetView>
  </sheetViews>
  <sheetFormatPr defaultColWidth="8.8515625" defaultRowHeight="12.75"/>
  <cols>
    <col min="1" max="3" width="8.8515625" style="0" customWidth="1"/>
    <col min="4" max="4" width="10.00390625" style="0" customWidth="1"/>
    <col min="5" max="5" width="14.00390625" style="0" bestFit="1" customWidth="1"/>
  </cols>
  <sheetData>
    <row r="1" spans="4:5" s="27" customFormat="1" ht="12">
      <c r="D1" s="28" t="s">
        <v>107</v>
      </c>
      <c r="E1" s="29" t="s">
        <v>108</v>
      </c>
    </row>
    <row r="2" spans="4:5" s="27" customFormat="1" ht="12">
      <c r="D2" s="28"/>
      <c r="E2" s="30" t="s">
        <v>53</v>
      </c>
    </row>
    <row r="3" ht="16.5">
      <c r="A3" s="31" t="s">
        <v>304</v>
      </c>
    </row>
    <row r="4" spans="1:6" ht="12">
      <c r="A4" s="15" t="s">
        <v>235</v>
      </c>
      <c r="F4" s="15" t="s">
        <v>236</v>
      </c>
    </row>
    <row r="5" spans="1:6" ht="12">
      <c r="A5" t="s">
        <v>237</v>
      </c>
      <c r="E5" s="32">
        <v>10</v>
      </c>
      <c r="F5" t="s">
        <v>203</v>
      </c>
    </row>
    <row r="6" spans="1:6" ht="12">
      <c r="A6" t="s">
        <v>204</v>
      </c>
      <c r="E6" s="33">
        <v>0.5</v>
      </c>
      <c r="F6" t="s">
        <v>116</v>
      </c>
    </row>
    <row r="7" spans="4:6" ht="12">
      <c r="D7">
        <f>365*24</f>
        <v>8760</v>
      </c>
      <c r="E7" s="34">
        <v>8760</v>
      </c>
      <c r="F7" t="s">
        <v>117</v>
      </c>
    </row>
    <row r="8" spans="1:7" ht="12">
      <c r="A8" t="s">
        <v>201</v>
      </c>
      <c r="E8" s="34">
        <f>E5*E6*E7</f>
        <v>43800</v>
      </c>
      <c r="F8" t="s">
        <v>152</v>
      </c>
      <c r="G8" t="s">
        <v>275</v>
      </c>
    </row>
    <row r="9" spans="1:6" ht="12">
      <c r="A9" t="s">
        <v>132</v>
      </c>
      <c r="E9" s="32">
        <v>0</v>
      </c>
      <c r="F9" t="s">
        <v>233</v>
      </c>
    </row>
    <row r="11" ht="12">
      <c r="A11" s="15" t="s">
        <v>76</v>
      </c>
    </row>
    <row r="12" spans="1:6" ht="12">
      <c r="A12" t="s">
        <v>77</v>
      </c>
      <c r="E12" s="32">
        <v>0.911</v>
      </c>
      <c r="F12" t="s">
        <v>51</v>
      </c>
    </row>
    <row r="13" spans="1:6" ht="12">
      <c r="A13" t="s">
        <v>78</v>
      </c>
      <c r="E13" s="35">
        <v>10</v>
      </c>
      <c r="F13" t="s">
        <v>19</v>
      </c>
    </row>
    <row r="14" spans="1:6" ht="12">
      <c r="A14" t="s">
        <v>20</v>
      </c>
      <c r="E14" s="32">
        <v>5</v>
      </c>
      <c r="F14" t="s">
        <v>21</v>
      </c>
    </row>
    <row r="15" spans="1:6" ht="12">
      <c r="A15" t="s">
        <v>126</v>
      </c>
      <c r="E15" s="33">
        <v>0.08</v>
      </c>
      <c r="F15" t="s">
        <v>91</v>
      </c>
    </row>
    <row r="17" ht="16.5">
      <c r="A17" s="31" t="s">
        <v>150</v>
      </c>
    </row>
    <row r="18" ht="12">
      <c r="A18" s="15" t="s">
        <v>114</v>
      </c>
    </row>
    <row r="19" spans="1:6" ht="12">
      <c r="A19" t="s">
        <v>250</v>
      </c>
      <c r="E19" s="34">
        <f>E8*(E12-E9)</f>
        <v>39901.8</v>
      </c>
      <c r="F19" t="s">
        <v>251</v>
      </c>
    </row>
    <row r="20" spans="1:6" ht="12">
      <c r="A20" t="s">
        <v>272</v>
      </c>
      <c r="E20" s="34">
        <f>E19*E13</f>
        <v>399018</v>
      </c>
      <c r="F20" t="s">
        <v>273</v>
      </c>
    </row>
    <row r="22" spans="1:4" ht="12">
      <c r="A22" s="15" t="s">
        <v>285</v>
      </c>
      <c r="B22" s="36"/>
      <c r="C22" s="36"/>
      <c r="D22" s="36"/>
    </row>
    <row r="23" spans="1:6" ht="12">
      <c r="A23" t="s">
        <v>137</v>
      </c>
      <c r="C23" s="15"/>
      <c r="D23" s="15"/>
      <c r="E23" s="37">
        <f>$E$14*E19</f>
        <v>199509</v>
      </c>
      <c r="F23" t="s">
        <v>138</v>
      </c>
    </row>
    <row r="24" spans="1:5" ht="12">
      <c r="A24" t="s">
        <v>293</v>
      </c>
      <c r="E24" s="37">
        <f>E14*E20</f>
        <v>1995090</v>
      </c>
    </row>
    <row r="25" spans="1:5" ht="12">
      <c r="A25" t="s">
        <v>244</v>
      </c>
      <c r="E25" s="37">
        <f>-PV(E15,E13,E23)</f>
        <v>1338721.629821409</v>
      </c>
    </row>
    <row r="26" spans="1:6" ht="12">
      <c r="A26" t="s">
        <v>111</v>
      </c>
      <c r="E26" s="38">
        <f>E14*(E12-E9)</f>
        <v>4.555</v>
      </c>
      <c r="F26" t="s">
        <v>25</v>
      </c>
    </row>
  </sheetData>
  <sheetProtection/>
  <printOptions/>
  <pageMargins left="0.75" right="0.75" top="1" bottom="1" header="0.5" footer="0.5"/>
  <pageSetup orientation="portrait"/>
</worksheet>
</file>

<file path=xl/worksheets/sheet7.xml><?xml version="1.0" encoding="utf-8"?>
<worksheet xmlns="http://schemas.openxmlformats.org/spreadsheetml/2006/main" xmlns:r="http://schemas.openxmlformats.org/officeDocument/2006/relationships">
  <dimension ref="A6:AM198"/>
  <sheetViews>
    <sheetView showGridLines="0" zoomScale="125" zoomScaleNormal="125" workbookViewId="0" topLeftCell="A1">
      <selection activeCell="B41" sqref="B41"/>
    </sheetView>
  </sheetViews>
  <sheetFormatPr defaultColWidth="11.57421875" defaultRowHeight="12.75"/>
  <cols>
    <col min="1" max="1" width="3.8515625" style="0" customWidth="1"/>
    <col min="2" max="2" width="33.140625" style="174" customWidth="1"/>
    <col min="3" max="3" width="15.28125" style="258" customWidth="1"/>
    <col min="4" max="4" width="10.140625" style="174" bestFit="1" customWidth="1"/>
    <col min="5" max="5" width="9.140625" style="428" customWidth="1"/>
    <col min="6" max="8" width="10.140625" style="174" bestFit="1" customWidth="1"/>
    <col min="9" max="14" width="10.8515625" style="174" bestFit="1" customWidth="1"/>
    <col min="15" max="15" width="10.140625" style="174" bestFit="1" customWidth="1"/>
    <col min="16" max="38" width="10.8515625" style="174" bestFit="1" customWidth="1"/>
    <col min="39" max="39" width="9.8515625" style="174" customWidth="1"/>
    <col min="40" max="16384" width="11.421875" style="0" customWidth="1"/>
  </cols>
  <sheetData>
    <row r="1" ht="12.75"/>
    <row r="2" ht="12.75"/>
    <row r="3" ht="12.75"/>
    <row r="4" ht="12.75"/>
    <row r="6" spans="1:3" ht="12">
      <c r="A6" t="s">
        <v>134</v>
      </c>
      <c r="B6"/>
      <c r="C6" t="str">
        <f>'Tables for PDD'!C6</f>
        <v>Project Kamojang 5 PT. Pertamina Geothermal Energy </v>
      </c>
    </row>
    <row r="7" spans="1:3" ht="12">
      <c r="A7" t="s">
        <v>135</v>
      </c>
      <c r="B7" s="311"/>
      <c r="C7" s="311">
        <f>'Tables for PDD'!C7</f>
        <v>2.3</v>
      </c>
    </row>
    <row r="8" spans="1:3" ht="12">
      <c r="A8" t="s">
        <v>136</v>
      </c>
      <c r="B8"/>
      <c r="C8" t="str">
        <f>'Tables for PDD'!C8</f>
        <v>Arrie Tjahyo Setiawan, Alin Pratidina</v>
      </c>
    </row>
    <row r="11" ht="12">
      <c r="B11" s="174" t="s">
        <v>194</v>
      </c>
    </row>
    <row r="12" ht="12">
      <c r="B12" s="177" t="s">
        <v>232</v>
      </c>
    </row>
    <row r="13" ht="3.75" customHeight="1">
      <c r="B13" s="177"/>
    </row>
    <row r="14" ht="3.75" customHeight="1">
      <c r="B14" s="177"/>
    </row>
    <row r="15" spans="2:38" s="238" customFormat="1" ht="12">
      <c r="B15" s="384" t="s">
        <v>139</v>
      </c>
      <c r="C15" s="385"/>
      <c r="D15" s="386"/>
      <c r="E15" s="413">
        <v>-3</v>
      </c>
      <c r="F15" s="386">
        <v>-2</v>
      </c>
      <c r="G15" s="386">
        <v>-1</v>
      </c>
      <c r="H15" s="413">
        <v>0</v>
      </c>
      <c r="I15" s="386">
        <v>1</v>
      </c>
      <c r="J15" s="386">
        <v>2</v>
      </c>
      <c r="K15" s="386">
        <v>3</v>
      </c>
      <c r="L15" s="386">
        <v>4</v>
      </c>
      <c r="M15" s="386">
        <v>5</v>
      </c>
      <c r="N15" s="386">
        <v>6</v>
      </c>
      <c r="O15" s="386">
        <v>7</v>
      </c>
      <c r="P15" s="386">
        <v>8</v>
      </c>
      <c r="Q15" s="386">
        <v>9</v>
      </c>
      <c r="R15" s="386">
        <v>10</v>
      </c>
      <c r="S15" s="386">
        <v>11</v>
      </c>
      <c r="T15" s="386">
        <v>12</v>
      </c>
      <c r="U15" s="386">
        <v>13</v>
      </c>
      <c r="V15" s="386">
        <v>14</v>
      </c>
      <c r="W15" s="386">
        <v>15</v>
      </c>
      <c r="X15" s="386">
        <v>16</v>
      </c>
      <c r="Y15" s="386">
        <v>17</v>
      </c>
      <c r="Z15" s="386">
        <v>18</v>
      </c>
      <c r="AA15" s="386">
        <v>19</v>
      </c>
      <c r="AB15" s="386">
        <v>20</v>
      </c>
      <c r="AC15" s="386">
        <v>21</v>
      </c>
      <c r="AD15" s="386">
        <v>22</v>
      </c>
      <c r="AE15" s="386">
        <v>23</v>
      </c>
      <c r="AF15" s="386">
        <v>24</v>
      </c>
      <c r="AG15" s="386">
        <v>25</v>
      </c>
      <c r="AH15" s="386">
        <v>26</v>
      </c>
      <c r="AI15" s="386">
        <v>27</v>
      </c>
      <c r="AJ15" s="386">
        <v>28</v>
      </c>
      <c r="AK15" s="386">
        <v>29</v>
      </c>
      <c r="AL15" s="387">
        <v>30</v>
      </c>
    </row>
    <row r="16" spans="2:39" ht="3.75" customHeight="1">
      <c r="B16" s="388"/>
      <c r="C16" s="389"/>
      <c r="D16" s="209"/>
      <c r="E16" s="414"/>
      <c r="F16" s="209"/>
      <c r="G16" s="209"/>
      <c r="H16" s="414"/>
      <c r="I16" s="209"/>
      <c r="J16" s="209"/>
      <c r="K16" s="209"/>
      <c r="L16" s="209"/>
      <c r="M16" s="209"/>
      <c r="N16" s="209"/>
      <c r="O16" s="209"/>
      <c r="P16" s="209"/>
      <c r="Q16" s="209"/>
      <c r="R16" s="209"/>
      <c r="S16" s="209"/>
      <c r="T16" s="209"/>
      <c r="U16" s="209"/>
      <c r="V16" s="209"/>
      <c r="W16" s="209"/>
      <c r="X16" s="209"/>
      <c r="Y16" s="209"/>
      <c r="Z16" s="209"/>
      <c r="AA16" s="209"/>
      <c r="AB16" s="209"/>
      <c r="AC16" s="209"/>
      <c r="AD16" s="209"/>
      <c r="AE16" s="209"/>
      <c r="AF16" s="209"/>
      <c r="AG16" s="209"/>
      <c r="AH16" s="209"/>
      <c r="AI16" s="209"/>
      <c r="AJ16" s="209"/>
      <c r="AK16" s="209"/>
      <c r="AL16" s="390"/>
      <c r="AM16"/>
    </row>
    <row r="17" spans="2:39" ht="12">
      <c r="B17" s="246" t="s">
        <v>234</v>
      </c>
      <c r="C17" s="260" t="s">
        <v>104</v>
      </c>
      <c r="D17" s="247">
        <f>Summary!E29</f>
        <v>236520</v>
      </c>
      <c r="E17" s="429"/>
      <c r="F17" s="192"/>
      <c r="G17" s="192"/>
      <c r="H17" s="192"/>
      <c r="I17" s="192">
        <f>D17</f>
        <v>236520</v>
      </c>
      <c r="J17" s="192">
        <f>D17</f>
        <v>236520</v>
      </c>
      <c r="K17" s="192">
        <f aca="true" t="shared" si="0" ref="K17:AL17">J17</f>
        <v>236520</v>
      </c>
      <c r="L17" s="192">
        <f t="shared" si="0"/>
        <v>236520</v>
      </c>
      <c r="M17" s="192">
        <f t="shared" si="0"/>
        <v>236520</v>
      </c>
      <c r="N17" s="192">
        <f t="shared" si="0"/>
        <v>236520</v>
      </c>
      <c r="O17" s="192">
        <f t="shared" si="0"/>
        <v>236520</v>
      </c>
      <c r="P17" s="192">
        <f t="shared" si="0"/>
        <v>236520</v>
      </c>
      <c r="Q17" s="192">
        <f t="shared" si="0"/>
        <v>236520</v>
      </c>
      <c r="R17" s="192">
        <f t="shared" si="0"/>
        <v>236520</v>
      </c>
      <c r="S17" s="192">
        <f t="shared" si="0"/>
        <v>236520</v>
      </c>
      <c r="T17" s="192">
        <f t="shared" si="0"/>
        <v>236520</v>
      </c>
      <c r="U17" s="192">
        <f t="shared" si="0"/>
        <v>236520</v>
      </c>
      <c r="V17" s="192">
        <f t="shared" si="0"/>
        <v>236520</v>
      </c>
      <c r="W17" s="192">
        <f t="shared" si="0"/>
        <v>236520</v>
      </c>
      <c r="X17" s="192">
        <f t="shared" si="0"/>
        <v>236520</v>
      </c>
      <c r="Y17" s="192">
        <f t="shared" si="0"/>
        <v>236520</v>
      </c>
      <c r="Z17" s="192">
        <f t="shared" si="0"/>
        <v>236520</v>
      </c>
      <c r="AA17" s="192">
        <f t="shared" si="0"/>
        <v>236520</v>
      </c>
      <c r="AB17" s="192">
        <f t="shared" si="0"/>
        <v>236520</v>
      </c>
      <c r="AC17" s="192">
        <f t="shared" si="0"/>
        <v>236520</v>
      </c>
      <c r="AD17" s="192">
        <f t="shared" si="0"/>
        <v>236520</v>
      </c>
      <c r="AE17" s="192">
        <f t="shared" si="0"/>
        <v>236520</v>
      </c>
      <c r="AF17" s="192">
        <f t="shared" si="0"/>
        <v>236520</v>
      </c>
      <c r="AG17" s="192">
        <f t="shared" si="0"/>
        <v>236520</v>
      </c>
      <c r="AH17" s="192">
        <f t="shared" si="0"/>
        <v>236520</v>
      </c>
      <c r="AI17" s="192">
        <f t="shared" si="0"/>
        <v>236520</v>
      </c>
      <c r="AJ17" s="192">
        <f t="shared" si="0"/>
        <v>236520</v>
      </c>
      <c r="AK17" s="192">
        <f t="shared" si="0"/>
        <v>236520</v>
      </c>
      <c r="AL17" s="193">
        <f t="shared" si="0"/>
        <v>236520</v>
      </c>
      <c r="AM17"/>
    </row>
    <row r="18" spans="2:39" ht="12">
      <c r="B18" s="194"/>
      <c r="C18" s="261"/>
      <c r="D18" s="195"/>
      <c r="E18" s="3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6"/>
      <c r="AM18"/>
    </row>
    <row r="19" spans="2:39" ht="12">
      <c r="B19" s="248" t="s">
        <v>279</v>
      </c>
      <c r="C19" s="262" t="s">
        <v>105</v>
      </c>
      <c r="D19" s="249">
        <f>Summary!E48</f>
        <v>90</v>
      </c>
      <c r="E19" s="415"/>
      <c r="F19" s="197"/>
      <c r="G19" s="197"/>
      <c r="H19" s="197"/>
      <c r="I19" s="197">
        <f>D19</f>
        <v>90</v>
      </c>
      <c r="J19" s="197">
        <f>I19</f>
        <v>90</v>
      </c>
      <c r="K19" s="197">
        <f>J19</f>
        <v>90</v>
      </c>
      <c r="L19" s="197">
        <f>K19</f>
        <v>90</v>
      </c>
      <c r="M19" s="197">
        <f aca="true" t="shared" si="1" ref="M19:AL19">L19</f>
        <v>90</v>
      </c>
      <c r="N19" s="197">
        <f t="shared" si="1"/>
        <v>90</v>
      </c>
      <c r="O19" s="197">
        <f t="shared" si="1"/>
        <v>90</v>
      </c>
      <c r="P19" s="197">
        <f t="shared" si="1"/>
        <v>90</v>
      </c>
      <c r="Q19" s="197">
        <f t="shared" si="1"/>
        <v>90</v>
      </c>
      <c r="R19" s="197">
        <f t="shared" si="1"/>
        <v>90</v>
      </c>
      <c r="S19" s="197">
        <f t="shared" si="1"/>
        <v>90</v>
      </c>
      <c r="T19" s="197">
        <f t="shared" si="1"/>
        <v>90</v>
      </c>
      <c r="U19" s="197">
        <f t="shared" si="1"/>
        <v>90</v>
      </c>
      <c r="V19" s="197">
        <f t="shared" si="1"/>
        <v>90</v>
      </c>
      <c r="W19" s="197">
        <f t="shared" si="1"/>
        <v>90</v>
      </c>
      <c r="X19" s="197">
        <f t="shared" si="1"/>
        <v>90</v>
      </c>
      <c r="Y19" s="197">
        <f t="shared" si="1"/>
        <v>90</v>
      </c>
      <c r="Z19" s="197">
        <f t="shared" si="1"/>
        <v>90</v>
      </c>
      <c r="AA19" s="197">
        <f t="shared" si="1"/>
        <v>90</v>
      </c>
      <c r="AB19" s="197">
        <f t="shared" si="1"/>
        <v>90</v>
      </c>
      <c r="AC19" s="197">
        <f t="shared" si="1"/>
        <v>90</v>
      </c>
      <c r="AD19" s="197">
        <f t="shared" si="1"/>
        <v>90</v>
      </c>
      <c r="AE19" s="197">
        <f t="shared" si="1"/>
        <v>90</v>
      </c>
      <c r="AF19" s="197">
        <f t="shared" si="1"/>
        <v>90</v>
      </c>
      <c r="AG19" s="197">
        <f t="shared" si="1"/>
        <v>90</v>
      </c>
      <c r="AH19" s="197">
        <f t="shared" si="1"/>
        <v>90</v>
      </c>
      <c r="AI19" s="197">
        <f t="shared" si="1"/>
        <v>90</v>
      </c>
      <c r="AJ19" s="197">
        <f t="shared" si="1"/>
        <v>90</v>
      </c>
      <c r="AK19" s="197">
        <f t="shared" si="1"/>
        <v>90</v>
      </c>
      <c r="AL19" s="198">
        <f t="shared" si="1"/>
        <v>90</v>
      </c>
      <c r="AM19"/>
    </row>
    <row r="20" spans="2:38" s="416" customFormat="1" ht="12">
      <c r="B20" s="248" t="s">
        <v>238</v>
      </c>
      <c r="C20" s="262" t="s">
        <v>52</v>
      </c>
      <c r="D20" s="426"/>
      <c r="E20" s="395"/>
      <c r="F20" s="195"/>
      <c r="G20" s="195"/>
      <c r="H20" s="195"/>
      <c r="I20" s="205">
        <f>I17*I19</f>
        <v>21286800</v>
      </c>
      <c r="J20" s="205">
        <f aca="true" t="shared" si="2" ref="J20:AL20">J17*J19</f>
        <v>21286800</v>
      </c>
      <c r="K20" s="205">
        <f t="shared" si="2"/>
        <v>21286800</v>
      </c>
      <c r="L20" s="205">
        <f t="shared" si="2"/>
        <v>21286800</v>
      </c>
      <c r="M20" s="205">
        <f t="shared" si="2"/>
        <v>21286800</v>
      </c>
      <c r="N20" s="205">
        <f t="shared" si="2"/>
        <v>21286800</v>
      </c>
      <c r="O20" s="205">
        <f t="shared" si="2"/>
        <v>21286800</v>
      </c>
      <c r="P20" s="205">
        <f t="shared" si="2"/>
        <v>21286800</v>
      </c>
      <c r="Q20" s="205">
        <f t="shared" si="2"/>
        <v>21286800</v>
      </c>
      <c r="R20" s="205">
        <f t="shared" si="2"/>
        <v>21286800</v>
      </c>
      <c r="S20" s="205">
        <f t="shared" si="2"/>
        <v>21286800</v>
      </c>
      <c r="T20" s="205">
        <f t="shared" si="2"/>
        <v>21286800</v>
      </c>
      <c r="U20" s="205">
        <f t="shared" si="2"/>
        <v>21286800</v>
      </c>
      <c r="V20" s="205">
        <f t="shared" si="2"/>
        <v>21286800</v>
      </c>
      <c r="W20" s="205">
        <f t="shared" si="2"/>
        <v>21286800</v>
      </c>
      <c r="X20" s="205">
        <f t="shared" si="2"/>
        <v>21286800</v>
      </c>
      <c r="Y20" s="205">
        <f t="shared" si="2"/>
        <v>21286800</v>
      </c>
      <c r="Z20" s="205">
        <f t="shared" si="2"/>
        <v>21286800</v>
      </c>
      <c r="AA20" s="205">
        <f t="shared" si="2"/>
        <v>21286800</v>
      </c>
      <c r="AB20" s="205">
        <f t="shared" si="2"/>
        <v>21286800</v>
      </c>
      <c r="AC20" s="205">
        <f t="shared" si="2"/>
        <v>21286800</v>
      </c>
      <c r="AD20" s="205">
        <f t="shared" si="2"/>
        <v>21286800</v>
      </c>
      <c r="AE20" s="205">
        <f t="shared" si="2"/>
        <v>21286800</v>
      </c>
      <c r="AF20" s="205">
        <f t="shared" si="2"/>
        <v>21286800</v>
      </c>
      <c r="AG20" s="205">
        <f t="shared" si="2"/>
        <v>21286800</v>
      </c>
      <c r="AH20" s="205">
        <f t="shared" si="2"/>
        <v>21286800</v>
      </c>
      <c r="AI20" s="205">
        <f t="shared" si="2"/>
        <v>21286800</v>
      </c>
      <c r="AJ20" s="205">
        <f t="shared" si="2"/>
        <v>21286800</v>
      </c>
      <c r="AK20" s="205">
        <f t="shared" si="2"/>
        <v>21286800</v>
      </c>
      <c r="AL20" s="206">
        <f t="shared" si="2"/>
        <v>21286800</v>
      </c>
    </row>
    <row r="21" spans="2:38" s="416" customFormat="1" ht="12">
      <c r="B21" s="248" t="s">
        <v>24</v>
      </c>
      <c r="C21" s="262" t="s">
        <v>50</v>
      </c>
      <c r="D21" s="461">
        <f>Summary!E58*Summary!E57</f>
        <v>8320000</v>
      </c>
      <c r="E21" s="395"/>
      <c r="F21" s="195"/>
      <c r="G21" s="195"/>
      <c r="H21" s="19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6">
        <f>D21</f>
        <v>8320000</v>
      </c>
    </row>
    <row r="22" spans="2:38" s="15" customFormat="1" ht="12">
      <c r="B22" s="252" t="s">
        <v>93</v>
      </c>
      <c r="C22" s="264" t="s">
        <v>112</v>
      </c>
      <c r="D22" s="253"/>
      <c r="E22" s="430"/>
      <c r="F22" s="199"/>
      <c r="G22" s="199"/>
      <c r="H22" s="199"/>
      <c r="I22" s="200">
        <f>SUM(I20:I21)</f>
        <v>21286800</v>
      </c>
      <c r="J22" s="200">
        <f aca="true" t="shared" si="3" ref="J22:AL22">SUM(J20:J21)</f>
        <v>21286800</v>
      </c>
      <c r="K22" s="200">
        <f t="shared" si="3"/>
        <v>21286800</v>
      </c>
      <c r="L22" s="200">
        <f t="shared" si="3"/>
        <v>21286800</v>
      </c>
      <c r="M22" s="200">
        <f t="shared" si="3"/>
        <v>21286800</v>
      </c>
      <c r="N22" s="200">
        <f t="shared" si="3"/>
        <v>21286800</v>
      </c>
      <c r="O22" s="200">
        <f t="shared" si="3"/>
        <v>21286800</v>
      </c>
      <c r="P22" s="200">
        <f t="shared" si="3"/>
        <v>21286800</v>
      </c>
      <c r="Q22" s="200">
        <f t="shared" si="3"/>
        <v>21286800</v>
      </c>
      <c r="R22" s="200">
        <f t="shared" si="3"/>
        <v>21286800</v>
      </c>
      <c r="S22" s="200">
        <f t="shared" si="3"/>
        <v>21286800</v>
      </c>
      <c r="T22" s="200">
        <f t="shared" si="3"/>
        <v>21286800</v>
      </c>
      <c r="U22" s="200">
        <f t="shared" si="3"/>
        <v>21286800</v>
      </c>
      <c r="V22" s="200">
        <f t="shared" si="3"/>
        <v>21286800</v>
      </c>
      <c r="W22" s="200">
        <f t="shared" si="3"/>
        <v>21286800</v>
      </c>
      <c r="X22" s="200">
        <f t="shared" si="3"/>
        <v>21286800</v>
      </c>
      <c r="Y22" s="200">
        <f t="shared" si="3"/>
        <v>21286800</v>
      </c>
      <c r="Z22" s="200">
        <f t="shared" si="3"/>
        <v>21286800</v>
      </c>
      <c r="AA22" s="200">
        <f t="shared" si="3"/>
        <v>21286800</v>
      </c>
      <c r="AB22" s="200">
        <f t="shared" si="3"/>
        <v>21286800</v>
      </c>
      <c r="AC22" s="200">
        <f t="shared" si="3"/>
        <v>21286800</v>
      </c>
      <c r="AD22" s="200">
        <f t="shared" si="3"/>
        <v>21286800</v>
      </c>
      <c r="AE22" s="200">
        <f t="shared" si="3"/>
        <v>21286800</v>
      </c>
      <c r="AF22" s="200">
        <f t="shared" si="3"/>
        <v>21286800</v>
      </c>
      <c r="AG22" s="200">
        <f t="shared" si="3"/>
        <v>21286800</v>
      </c>
      <c r="AH22" s="200">
        <f t="shared" si="3"/>
        <v>21286800</v>
      </c>
      <c r="AI22" s="200">
        <f t="shared" si="3"/>
        <v>21286800</v>
      </c>
      <c r="AJ22" s="200">
        <f t="shared" si="3"/>
        <v>21286800</v>
      </c>
      <c r="AK22" s="200">
        <f t="shared" si="3"/>
        <v>21286800</v>
      </c>
      <c r="AL22" s="201">
        <f t="shared" si="3"/>
        <v>29606800</v>
      </c>
    </row>
    <row r="23" spans="9:39" ht="3.75" customHeight="1">
      <c r="I23" s="176"/>
      <c r="J23" s="176"/>
      <c r="K23" s="176"/>
      <c r="L23" s="176"/>
      <c r="M23" s="176"/>
      <c r="N23" s="176"/>
      <c r="O23" s="176"/>
      <c r="P23" s="176"/>
      <c r="Q23" s="176"/>
      <c r="R23" s="176"/>
      <c r="S23" s="176"/>
      <c r="T23" s="176"/>
      <c r="U23" s="176"/>
      <c r="V23" s="176"/>
      <c r="W23" s="176"/>
      <c r="X23" s="176"/>
      <c r="Y23" s="176"/>
      <c r="Z23" s="176"/>
      <c r="AA23" s="176"/>
      <c r="AB23" s="176"/>
      <c r="AC23" s="176"/>
      <c r="AD23" s="176"/>
      <c r="AE23" s="176"/>
      <c r="AF23" s="176"/>
      <c r="AG23" s="176"/>
      <c r="AH23" s="176"/>
      <c r="AI23" s="176"/>
      <c r="AJ23" s="176"/>
      <c r="AK23" s="176"/>
      <c r="AL23" s="176"/>
      <c r="AM23"/>
    </row>
    <row r="24" spans="2:39" ht="12">
      <c r="B24" s="244" t="s">
        <v>298</v>
      </c>
      <c r="C24" s="266" t="s">
        <v>147</v>
      </c>
      <c r="D24" s="245">
        <f>SUM(E24:H24)</f>
        <v>45600000</v>
      </c>
      <c r="E24" s="431">
        <f>Summary!F87</f>
        <v>0</v>
      </c>
      <c r="F24" s="202">
        <f>Summary!F86</f>
        <v>0</v>
      </c>
      <c r="G24" s="202">
        <f>Summary!F85</f>
        <v>27360000</v>
      </c>
      <c r="H24" s="202">
        <f>Summary!F84</f>
        <v>18240000</v>
      </c>
      <c r="I24" s="203"/>
      <c r="J24" s="203"/>
      <c r="K24" s="203"/>
      <c r="L24" s="203"/>
      <c r="M24" s="203"/>
      <c r="N24" s="203"/>
      <c r="O24" s="203"/>
      <c r="P24" s="203"/>
      <c r="Q24" s="203"/>
      <c r="R24" s="203"/>
      <c r="S24" s="203"/>
      <c r="T24" s="203"/>
      <c r="U24" s="203"/>
      <c r="V24" s="203"/>
      <c r="W24" s="203"/>
      <c r="X24" s="203"/>
      <c r="Y24" s="203"/>
      <c r="Z24" s="203"/>
      <c r="AA24" s="203"/>
      <c r="AB24" s="203"/>
      <c r="AC24" s="203"/>
      <c r="AD24" s="203"/>
      <c r="AE24" s="203"/>
      <c r="AF24" s="203"/>
      <c r="AG24" s="203"/>
      <c r="AH24" s="203"/>
      <c r="AI24" s="203"/>
      <c r="AJ24" s="203"/>
      <c r="AK24" s="203"/>
      <c r="AL24" s="204"/>
      <c r="AM24"/>
    </row>
    <row r="25" spans="2:39" ht="12">
      <c r="B25" s="250" t="s">
        <v>101</v>
      </c>
      <c r="C25" s="267" t="s">
        <v>50</v>
      </c>
      <c r="D25" s="251">
        <f>SUM(E25:H25)</f>
        <v>0</v>
      </c>
      <c r="E25" s="432">
        <f>Summary!G87</f>
        <v>0</v>
      </c>
      <c r="F25" s="207">
        <f>Summary!G86</f>
        <v>0</v>
      </c>
      <c r="G25" s="207">
        <f>Summary!G85</f>
        <v>0</v>
      </c>
      <c r="H25" s="207">
        <f>Summary!G84</f>
        <v>0</v>
      </c>
      <c r="I25" s="205"/>
      <c r="J25" s="205"/>
      <c r="K25" s="205"/>
      <c r="L25" s="205"/>
      <c r="M25" s="205"/>
      <c r="N25" s="205"/>
      <c r="O25" s="205"/>
      <c r="P25" s="205"/>
      <c r="Q25" s="205"/>
      <c r="R25" s="205"/>
      <c r="S25" s="205"/>
      <c r="T25" s="205"/>
      <c r="U25" s="205"/>
      <c r="V25" s="205"/>
      <c r="W25" s="205"/>
      <c r="X25" s="205"/>
      <c r="Y25" s="205"/>
      <c r="Z25" s="205"/>
      <c r="AA25" s="205"/>
      <c r="AB25" s="205"/>
      <c r="AC25" s="205"/>
      <c r="AD25" s="205"/>
      <c r="AE25" s="205"/>
      <c r="AF25" s="205"/>
      <c r="AG25" s="205"/>
      <c r="AH25" s="205"/>
      <c r="AI25" s="205"/>
      <c r="AJ25" s="205"/>
      <c r="AK25" s="205"/>
      <c r="AL25" s="206"/>
      <c r="AM25"/>
    </row>
    <row r="26" spans="2:39" ht="12">
      <c r="B26" s="250" t="s">
        <v>302</v>
      </c>
      <c r="C26" s="267" t="s">
        <v>50</v>
      </c>
      <c r="D26" s="251">
        <f>SUM(E26:H26)</f>
        <v>36600000</v>
      </c>
      <c r="E26" s="432">
        <f>Summary!D87</f>
        <v>1600000</v>
      </c>
      <c r="F26" s="207">
        <f>Summary!D86</f>
        <v>27000000</v>
      </c>
      <c r="G26" s="207">
        <f>Summary!D85</f>
        <v>5600000</v>
      </c>
      <c r="H26" s="207">
        <f>Summary!D84</f>
        <v>2400000</v>
      </c>
      <c r="I26" s="205"/>
      <c r="J26" s="205"/>
      <c r="K26" s="205"/>
      <c r="L26" s="205"/>
      <c r="M26" s="205"/>
      <c r="N26" s="205"/>
      <c r="O26" s="205"/>
      <c r="P26" s="205"/>
      <c r="Q26" s="205"/>
      <c r="R26" s="205"/>
      <c r="S26" s="205"/>
      <c r="T26" s="205"/>
      <c r="U26" s="205"/>
      <c r="V26" s="205"/>
      <c r="W26" s="205"/>
      <c r="X26" s="205"/>
      <c r="Y26" s="205"/>
      <c r="Z26" s="205"/>
      <c r="AA26" s="205"/>
      <c r="AB26" s="205"/>
      <c r="AC26" s="205"/>
      <c r="AD26" s="205"/>
      <c r="AE26" s="205"/>
      <c r="AF26" s="205"/>
      <c r="AG26" s="205"/>
      <c r="AH26" s="205"/>
      <c r="AI26" s="205"/>
      <c r="AJ26" s="205"/>
      <c r="AK26" s="205"/>
      <c r="AL26" s="206"/>
      <c r="AM26"/>
    </row>
    <row r="27" spans="2:39" ht="12">
      <c r="B27" s="250" t="s">
        <v>102</v>
      </c>
      <c r="C27" s="267" t="s">
        <v>50</v>
      </c>
      <c r="D27" s="251">
        <f>SUM(E27:H27)</f>
        <v>1000000</v>
      </c>
      <c r="E27" s="432">
        <f>Summary!E87</f>
        <v>0</v>
      </c>
      <c r="F27" s="207">
        <f>Summary!E86</f>
        <v>550000</v>
      </c>
      <c r="G27" s="207">
        <f>Summary!E85</f>
        <v>450000</v>
      </c>
      <c r="H27" s="207">
        <f>Summary!E84</f>
        <v>0</v>
      </c>
      <c r="I27" s="205"/>
      <c r="J27" s="205"/>
      <c r="K27" s="205"/>
      <c r="L27" s="205"/>
      <c r="M27" s="205"/>
      <c r="N27" s="205"/>
      <c r="O27" s="205"/>
      <c r="P27" s="205"/>
      <c r="Q27" s="205"/>
      <c r="R27" s="205"/>
      <c r="S27" s="205"/>
      <c r="T27" s="205"/>
      <c r="U27" s="205"/>
      <c r="V27" s="205"/>
      <c r="W27" s="205"/>
      <c r="X27" s="205"/>
      <c r="Y27" s="205"/>
      <c r="Z27" s="205"/>
      <c r="AA27" s="205"/>
      <c r="AB27" s="205"/>
      <c r="AC27" s="205"/>
      <c r="AD27" s="205"/>
      <c r="AE27" s="205"/>
      <c r="AF27" s="205"/>
      <c r="AG27" s="205"/>
      <c r="AH27" s="205"/>
      <c r="AI27" s="205"/>
      <c r="AJ27" s="205"/>
      <c r="AK27" s="205"/>
      <c r="AL27" s="206"/>
      <c r="AM27"/>
    </row>
    <row r="28" spans="2:39" ht="12">
      <c r="B28" s="250" t="s">
        <v>303</v>
      </c>
      <c r="C28" s="267" t="s">
        <v>50</v>
      </c>
      <c r="D28" s="251">
        <f>SUM(D24:D27)</f>
        <v>83200000</v>
      </c>
      <c r="E28" s="207">
        <f>SUM(E24:E27)</f>
        <v>1600000</v>
      </c>
      <c r="F28" s="207">
        <f>SUM(F24:F27)</f>
        <v>27550000</v>
      </c>
      <c r="G28" s="207">
        <f>SUM(G24:G27)</f>
        <v>33410000</v>
      </c>
      <c r="H28" s="207">
        <f>SUM(H24:H27)</f>
        <v>20640000</v>
      </c>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6"/>
      <c r="AM28"/>
    </row>
    <row r="29" spans="2:39" ht="12">
      <c r="B29" s="194"/>
      <c r="C29" s="261"/>
      <c r="D29" s="195"/>
      <c r="E29" s="395"/>
      <c r="F29" s="207"/>
      <c r="G29" s="207"/>
      <c r="H29" s="207"/>
      <c r="I29" s="205"/>
      <c r="J29" s="205"/>
      <c r="K29" s="205"/>
      <c r="L29" s="205"/>
      <c r="M29" s="205"/>
      <c r="N29" s="205"/>
      <c r="O29" s="205"/>
      <c r="P29" s="205"/>
      <c r="Q29" s="205"/>
      <c r="R29" s="205"/>
      <c r="S29" s="205"/>
      <c r="T29" s="205"/>
      <c r="U29" s="205"/>
      <c r="V29" s="205"/>
      <c r="W29" s="205"/>
      <c r="X29" s="205"/>
      <c r="Y29" s="205"/>
      <c r="Z29" s="205"/>
      <c r="AA29" s="205"/>
      <c r="AB29" s="205"/>
      <c r="AC29" s="205"/>
      <c r="AD29" s="205"/>
      <c r="AE29" s="205"/>
      <c r="AF29" s="205"/>
      <c r="AG29" s="205"/>
      <c r="AH29" s="205"/>
      <c r="AI29" s="205"/>
      <c r="AJ29" s="205"/>
      <c r="AK29" s="205"/>
      <c r="AL29" s="206"/>
      <c r="AM29"/>
    </row>
    <row r="30" spans="2:39" ht="12">
      <c r="B30" s="250" t="s">
        <v>30</v>
      </c>
      <c r="C30" s="267" t="s">
        <v>13</v>
      </c>
      <c r="D30" s="251">
        <f>Summary!E62</f>
        <v>2400000</v>
      </c>
      <c r="E30" s="432"/>
      <c r="F30" s="207"/>
      <c r="G30" s="207"/>
      <c r="H30" s="205"/>
      <c r="I30" s="205">
        <f>D30</f>
        <v>2400000</v>
      </c>
      <c r="J30" s="205">
        <f>I30</f>
        <v>2400000</v>
      </c>
      <c r="K30" s="205">
        <f aca="true" t="shared" si="4" ref="K30:AL30">J30</f>
        <v>2400000</v>
      </c>
      <c r="L30" s="205">
        <f t="shared" si="4"/>
        <v>2400000</v>
      </c>
      <c r="M30" s="205">
        <f t="shared" si="4"/>
        <v>2400000</v>
      </c>
      <c r="N30" s="205">
        <f t="shared" si="4"/>
        <v>2400000</v>
      </c>
      <c r="O30" s="205">
        <f t="shared" si="4"/>
        <v>2400000</v>
      </c>
      <c r="P30" s="205">
        <f t="shared" si="4"/>
        <v>2400000</v>
      </c>
      <c r="Q30" s="205">
        <f t="shared" si="4"/>
        <v>2400000</v>
      </c>
      <c r="R30" s="205">
        <f t="shared" si="4"/>
        <v>2400000</v>
      </c>
      <c r="S30" s="205">
        <f t="shared" si="4"/>
        <v>2400000</v>
      </c>
      <c r="T30" s="205">
        <f t="shared" si="4"/>
        <v>2400000</v>
      </c>
      <c r="U30" s="205">
        <f t="shared" si="4"/>
        <v>2400000</v>
      </c>
      <c r="V30" s="205">
        <f t="shared" si="4"/>
        <v>2400000</v>
      </c>
      <c r="W30" s="205">
        <f t="shared" si="4"/>
        <v>2400000</v>
      </c>
      <c r="X30" s="205">
        <f t="shared" si="4"/>
        <v>2400000</v>
      </c>
      <c r="Y30" s="205">
        <f t="shared" si="4"/>
        <v>2400000</v>
      </c>
      <c r="Z30" s="205">
        <f t="shared" si="4"/>
        <v>2400000</v>
      </c>
      <c r="AA30" s="205">
        <f t="shared" si="4"/>
        <v>2400000</v>
      </c>
      <c r="AB30" s="205">
        <f t="shared" si="4"/>
        <v>2400000</v>
      </c>
      <c r="AC30" s="205">
        <f t="shared" si="4"/>
        <v>2400000</v>
      </c>
      <c r="AD30" s="205">
        <f t="shared" si="4"/>
        <v>2400000</v>
      </c>
      <c r="AE30" s="205">
        <f t="shared" si="4"/>
        <v>2400000</v>
      </c>
      <c r="AF30" s="205">
        <f t="shared" si="4"/>
        <v>2400000</v>
      </c>
      <c r="AG30" s="205">
        <f t="shared" si="4"/>
        <v>2400000</v>
      </c>
      <c r="AH30" s="205">
        <f t="shared" si="4"/>
        <v>2400000</v>
      </c>
      <c r="AI30" s="205">
        <f t="shared" si="4"/>
        <v>2400000</v>
      </c>
      <c r="AJ30" s="205">
        <f t="shared" si="4"/>
        <v>2400000</v>
      </c>
      <c r="AK30" s="205">
        <f t="shared" si="4"/>
        <v>2400000</v>
      </c>
      <c r="AL30" s="206">
        <f t="shared" si="4"/>
        <v>2400000</v>
      </c>
      <c r="AM30"/>
    </row>
    <row r="31" spans="2:39" ht="12">
      <c r="B31" s="194"/>
      <c r="C31" s="261"/>
      <c r="D31" s="195"/>
      <c r="E31" s="395"/>
      <c r="F31" s="195"/>
      <c r="G31" s="195"/>
      <c r="H31" s="195"/>
      <c r="I31" s="205"/>
      <c r="J31" s="205"/>
      <c r="K31" s="205"/>
      <c r="L31" s="205"/>
      <c r="M31" s="205"/>
      <c r="N31" s="205"/>
      <c r="O31" s="205"/>
      <c r="P31" s="205"/>
      <c r="Q31" s="205"/>
      <c r="R31" s="205"/>
      <c r="S31" s="205"/>
      <c r="T31" s="205"/>
      <c r="U31" s="205"/>
      <c r="V31" s="205"/>
      <c r="W31" s="205"/>
      <c r="X31" s="205"/>
      <c r="Y31" s="205"/>
      <c r="Z31" s="205"/>
      <c r="AA31" s="205"/>
      <c r="AB31" s="205"/>
      <c r="AC31" s="205"/>
      <c r="AD31" s="205"/>
      <c r="AE31" s="205"/>
      <c r="AF31" s="205"/>
      <c r="AG31" s="205"/>
      <c r="AH31" s="205"/>
      <c r="AI31" s="205"/>
      <c r="AJ31" s="205"/>
      <c r="AK31" s="205"/>
      <c r="AL31" s="206"/>
      <c r="AM31"/>
    </row>
    <row r="32" spans="2:39" ht="12">
      <c r="B32" s="250" t="s">
        <v>54</v>
      </c>
      <c r="C32" s="267" t="s">
        <v>168</v>
      </c>
      <c r="D32" s="251"/>
      <c r="E32" s="432"/>
      <c r="F32" s="195"/>
      <c r="G32" s="195"/>
      <c r="H32" s="195"/>
      <c r="I32" s="205"/>
      <c r="J32" s="205"/>
      <c r="L32" s="205"/>
      <c r="M32" s="205"/>
      <c r="N32" s="205"/>
      <c r="O32" s="205">
        <f>Summary!E63</f>
        <v>13930000</v>
      </c>
      <c r="Q32" s="205"/>
      <c r="R32" s="205"/>
      <c r="S32" s="205"/>
      <c r="T32" s="205"/>
      <c r="U32" s="205"/>
      <c r="V32" s="205"/>
      <c r="W32" s="205"/>
      <c r="Y32" s="205"/>
      <c r="Z32" s="205"/>
      <c r="AA32" s="205"/>
      <c r="AB32" s="205"/>
      <c r="AC32" s="205"/>
      <c r="AD32" s="205">
        <f>R32</f>
        <v>0</v>
      </c>
      <c r="AE32" s="205"/>
      <c r="AF32" s="205"/>
      <c r="AG32" s="205"/>
      <c r="AH32" s="205"/>
      <c r="AI32" s="205"/>
      <c r="AJ32" s="205"/>
      <c r="AK32" s="205"/>
      <c r="AL32" s="206"/>
      <c r="AM32"/>
    </row>
    <row r="33" spans="2:38" s="15" customFormat="1" ht="12">
      <c r="B33" s="254" t="s">
        <v>82</v>
      </c>
      <c r="C33" s="268" t="s">
        <v>50</v>
      </c>
      <c r="D33" s="441">
        <f>SUM(E33:H33)</f>
        <v>83200000</v>
      </c>
      <c r="E33" s="200">
        <f>SUM(E28:E32)</f>
        <v>1600000</v>
      </c>
      <c r="F33" s="200">
        <f>SUM(F28:F32)</f>
        <v>27550000</v>
      </c>
      <c r="G33" s="200">
        <f>SUM(G28:G32)</f>
        <v>33410000</v>
      </c>
      <c r="H33" s="200">
        <f>SUM(H28:H32)</f>
        <v>20640000</v>
      </c>
      <c r="I33" s="200">
        <f aca="true" t="shared" si="5" ref="I33:AL33">SUM(I24:I32)</f>
        <v>2400000</v>
      </c>
      <c r="J33" s="200">
        <f t="shared" si="5"/>
        <v>2400000</v>
      </c>
      <c r="K33" s="200">
        <f t="shared" si="5"/>
        <v>2400000</v>
      </c>
      <c r="L33" s="200">
        <f t="shared" si="5"/>
        <v>2400000</v>
      </c>
      <c r="M33" s="200">
        <f t="shared" si="5"/>
        <v>2400000</v>
      </c>
      <c r="N33" s="200">
        <f t="shared" si="5"/>
        <v>2400000</v>
      </c>
      <c r="O33" s="200">
        <f>SUM(O24:O32)</f>
        <v>16330000</v>
      </c>
      <c r="P33" s="200">
        <f t="shared" si="5"/>
        <v>2400000</v>
      </c>
      <c r="Q33" s="200">
        <f t="shared" si="5"/>
        <v>2400000</v>
      </c>
      <c r="R33" s="200">
        <f t="shared" si="5"/>
        <v>2400000</v>
      </c>
      <c r="S33" s="200">
        <f t="shared" si="5"/>
        <v>2400000</v>
      </c>
      <c r="T33" s="200">
        <f t="shared" si="5"/>
        <v>2400000</v>
      </c>
      <c r="U33" s="200">
        <f t="shared" si="5"/>
        <v>2400000</v>
      </c>
      <c r="V33" s="200">
        <f t="shared" si="5"/>
        <v>2400000</v>
      </c>
      <c r="W33" s="200">
        <f t="shared" si="5"/>
        <v>2400000</v>
      </c>
      <c r="X33" s="200">
        <f t="shared" si="5"/>
        <v>2400000</v>
      </c>
      <c r="Y33" s="200">
        <f t="shared" si="5"/>
        <v>2400000</v>
      </c>
      <c r="Z33" s="200">
        <f t="shared" si="5"/>
        <v>2400000</v>
      </c>
      <c r="AA33" s="200">
        <f t="shared" si="5"/>
        <v>2400000</v>
      </c>
      <c r="AB33" s="200">
        <f t="shared" si="5"/>
        <v>2400000</v>
      </c>
      <c r="AC33" s="200">
        <f t="shared" si="5"/>
        <v>2400000</v>
      </c>
      <c r="AD33" s="200">
        <f t="shared" si="5"/>
        <v>2400000</v>
      </c>
      <c r="AE33" s="200">
        <f t="shared" si="5"/>
        <v>2400000</v>
      </c>
      <c r="AF33" s="200">
        <f t="shared" si="5"/>
        <v>2400000</v>
      </c>
      <c r="AG33" s="200">
        <f t="shared" si="5"/>
        <v>2400000</v>
      </c>
      <c r="AH33" s="200">
        <f t="shared" si="5"/>
        <v>2400000</v>
      </c>
      <c r="AI33" s="200">
        <f t="shared" si="5"/>
        <v>2400000</v>
      </c>
      <c r="AJ33" s="200">
        <f t="shared" si="5"/>
        <v>2400000</v>
      </c>
      <c r="AK33" s="200">
        <f t="shared" si="5"/>
        <v>2400000</v>
      </c>
      <c r="AL33" s="201">
        <f t="shared" si="5"/>
        <v>2400000</v>
      </c>
    </row>
    <row r="34" spans="5:39" ht="3.75" customHeight="1">
      <c r="E34" s="174"/>
      <c r="I34" s="176"/>
      <c r="J34" s="176"/>
      <c r="K34" s="176"/>
      <c r="L34" s="176"/>
      <c r="M34" s="176"/>
      <c r="N34" s="176"/>
      <c r="O34" s="176"/>
      <c r="P34" s="176"/>
      <c r="Q34" s="176"/>
      <c r="R34" s="176"/>
      <c r="S34" s="176"/>
      <c r="T34" s="176"/>
      <c r="U34" s="176"/>
      <c r="V34" s="176"/>
      <c r="W34" s="176"/>
      <c r="X34" s="176"/>
      <c r="Y34" s="176"/>
      <c r="Z34" s="176"/>
      <c r="AA34" s="176"/>
      <c r="AB34" s="176"/>
      <c r="AC34" s="176"/>
      <c r="AD34" s="176"/>
      <c r="AE34" s="176"/>
      <c r="AF34" s="176"/>
      <c r="AG34" s="176"/>
      <c r="AH34" s="176"/>
      <c r="AI34" s="176"/>
      <c r="AJ34" s="176"/>
      <c r="AK34" s="176"/>
      <c r="AL34" s="176"/>
      <c r="AM34"/>
    </row>
    <row r="35" spans="2:39" ht="12">
      <c r="B35" s="174" t="s">
        <v>231</v>
      </c>
      <c r="C35" s="258" t="s">
        <v>50</v>
      </c>
      <c r="E35" s="175">
        <f aca="true" t="shared" si="6" ref="E35:AL35">E22-E33</f>
        <v>-1600000</v>
      </c>
      <c r="F35" s="175">
        <f t="shared" si="6"/>
        <v>-27550000</v>
      </c>
      <c r="G35" s="175">
        <f t="shared" si="6"/>
        <v>-33410000</v>
      </c>
      <c r="H35" s="175">
        <f t="shared" si="6"/>
        <v>-20640000</v>
      </c>
      <c r="I35" s="175">
        <f t="shared" si="6"/>
        <v>18886800</v>
      </c>
      <c r="J35" s="175">
        <f t="shared" si="6"/>
        <v>18886800</v>
      </c>
      <c r="K35" s="175">
        <f t="shared" si="6"/>
        <v>18886800</v>
      </c>
      <c r="L35" s="175">
        <f t="shared" si="6"/>
        <v>18886800</v>
      </c>
      <c r="M35" s="175">
        <f t="shared" si="6"/>
        <v>18886800</v>
      </c>
      <c r="N35" s="175">
        <f t="shared" si="6"/>
        <v>18886800</v>
      </c>
      <c r="O35" s="175">
        <f t="shared" si="6"/>
        <v>4956800</v>
      </c>
      <c r="P35" s="175">
        <f t="shared" si="6"/>
        <v>18886800</v>
      </c>
      <c r="Q35" s="175">
        <f t="shared" si="6"/>
        <v>18886800</v>
      </c>
      <c r="R35" s="175">
        <f t="shared" si="6"/>
        <v>18886800</v>
      </c>
      <c r="S35" s="175">
        <f t="shared" si="6"/>
        <v>18886800</v>
      </c>
      <c r="T35" s="175">
        <f t="shared" si="6"/>
        <v>18886800</v>
      </c>
      <c r="U35" s="175">
        <f t="shared" si="6"/>
        <v>18886800</v>
      </c>
      <c r="V35" s="175">
        <f t="shared" si="6"/>
        <v>18886800</v>
      </c>
      <c r="W35" s="175">
        <f t="shared" si="6"/>
        <v>18886800</v>
      </c>
      <c r="X35" s="175">
        <f t="shared" si="6"/>
        <v>18886800</v>
      </c>
      <c r="Y35" s="175">
        <f t="shared" si="6"/>
        <v>18886800</v>
      </c>
      <c r="Z35" s="175">
        <f t="shared" si="6"/>
        <v>18886800</v>
      </c>
      <c r="AA35" s="175">
        <f t="shared" si="6"/>
        <v>18886800</v>
      </c>
      <c r="AB35" s="175">
        <f t="shared" si="6"/>
        <v>18886800</v>
      </c>
      <c r="AC35" s="175">
        <f t="shared" si="6"/>
        <v>18886800</v>
      </c>
      <c r="AD35" s="175">
        <f t="shared" si="6"/>
        <v>18886800</v>
      </c>
      <c r="AE35" s="175">
        <f t="shared" si="6"/>
        <v>18886800</v>
      </c>
      <c r="AF35" s="175">
        <f t="shared" si="6"/>
        <v>18886800</v>
      </c>
      <c r="AG35" s="175">
        <f t="shared" si="6"/>
        <v>18886800</v>
      </c>
      <c r="AH35" s="175">
        <f t="shared" si="6"/>
        <v>18886800</v>
      </c>
      <c r="AI35" s="175">
        <f t="shared" si="6"/>
        <v>18886800</v>
      </c>
      <c r="AJ35" s="175">
        <f t="shared" si="6"/>
        <v>18886800</v>
      </c>
      <c r="AK35" s="175">
        <f t="shared" si="6"/>
        <v>18886800</v>
      </c>
      <c r="AL35" s="175">
        <f t="shared" si="6"/>
        <v>27206800</v>
      </c>
      <c r="AM35"/>
    </row>
    <row r="36" spans="9:39" ht="3.75" customHeight="1">
      <c r="I36" s="176"/>
      <c r="J36" s="176"/>
      <c r="K36" s="176"/>
      <c r="L36" s="176"/>
      <c r="M36" s="176"/>
      <c r="N36" s="176"/>
      <c r="O36" s="176"/>
      <c r="P36" s="176"/>
      <c r="Q36" s="176"/>
      <c r="R36" s="176"/>
      <c r="S36" s="176"/>
      <c r="T36" s="176"/>
      <c r="U36" s="176"/>
      <c r="V36" s="176"/>
      <c r="W36" s="176"/>
      <c r="X36" s="176"/>
      <c r="Y36" s="176"/>
      <c r="Z36" s="176"/>
      <c r="AA36" s="176"/>
      <c r="AB36" s="176"/>
      <c r="AC36" s="176"/>
      <c r="AD36" s="176"/>
      <c r="AE36" s="176"/>
      <c r="AF36" s="176"/>
      <c r="AG36" s="176"/>
      <c r="AH36" s="176"/>
      <c r="AI36" s="176"/>
      <c r="AJ36" s="176"/>
      <c r="AK36" s="176"/>
      <c r="AL36" s="176"/>
      <c r="AM36"/>
    </row>
    <row r="37" spans="2:39" ht="12">
      <c r="B37" s="229" t="s">
        <v>193</v>
      </c>
      <c r="C37" s="269" t="s">
        <v>141</v>
      </c>
      <c r="D37" s="230">
        <f>Summary!E64</f>
        <v>0</v>
      </c>
      <c r="E37" s="433"/>
      <c r="F37" s="191"/>
      <c r="G37" s="191"/>
      <c r="H37" s="191"/>
      <c r="I37" s="203">
        <f>$D$37*I30</f>
        <v>0</v>
      </c>
      <c r="J37" s="203">
        <f aca="true" t="shared" si="7" ref="J37:AL37">$D$37*J30</f>
        <v>0</v>
      </c>
      <c r="K37" s="203">
        <f t="shared" si="7"/>
        <v>0</v>
      </c>
      <c r="L37" s="203">
        <f t="shared" si="7"/>
        <v>0</v>
      </c>
      <c r="M37" s="203">
        <f t="shared" si="7"/>
        <v>0</v>
      </c>
      <c r="N37" s="203">
        <f t="shared" si="7"/>
        <v>0</v>
      </c>
      <c r="O37" s="203">
        <f t="shared" si="7"/>
        <v>0</v>
      </c>
      <c r="P37" s="203">
        <f t="shared" si="7"/>
        <v>0</v>
      </c>
      <c r="Q37" s="203">
        <f t="shared" si="7"/>
        <v>0</v>
      </c>
      <c r="R37" s="203">
        <f t="shared" si="7"/>
        <v>0</v>
      </c>
      <c r="S37" s="203">
        <f t="shared" si="7"/>
        <v>0</v>
      </c>
      <c r="T37" s="203">
        <f t="shared" si="7"/>
        <v>0</v>
      </c>
      <c r="U37" s="203">
        <f t="shared" si="7"/>
        <v>0</v>
      </c>
      <c r="V37" s="203">
        <f t="shared" si="7"/>
        <v>0</v>
      </c>
      <c r="W37" s="203">
        <f t="shared" si="7"/>
        <v>0</v>
      </c>
      <c r="X37" s="203">
        <f t="shared" si="7"/>
        <v>0</v>
      </c>
      <c r="Y37" s="203">
        <f t="shared" si="7"/>
        <v>0</v>
      </c>
      <c r="Z37" s="203">
        <f t="shared" si="7"/>
        <v>0</v>
      </c>
      <c r="AA37" s="203">
        <f t="shared" si="7"/>
        <v>0</v>
      </c>
      <c r="AB37" s="203">
        <f t="shared" si="7"/>
        <v>0</v>
      </c>
      <c r="AC37" s="203">
        <f t="shared" si="7"/>
        <v>0</v>
      </c>
      <c r="AD37" s="203">
        <f t="shared" si="7"/>
        <v>0</v>
      </c>
      <c r="AE37" s="203">
        <f t="shared" si="7"/>
        <v>0</v>
      </c>
      <c r="AF37" s="203">
        <f t="shared" si="7"/>
        <v>0</v>
      </c>
      <c r="AG37" s="203">
        <f t="shared" si="7"/>
        <v>0</v>
      </c>
      <c r="AH37" s="203">
        <f t="shared" si="7"/>
        <v>0</v>
      </c>
      <c r="AI37" s="203">
        <f t="shared" si="7"/>
        <v>0</v>
      </c>
      <c r="AJ37" s="203">
        <f t="shared" si="7"/>
        <v>0</v>
      </c>
      <c r="AK37" s="203">
        <f t="shared" si="7"/>
        <v>0</v>
      </c>
      <c r="AL37" s="204">
        <f t="shared" si="7"/>
        <v>0</v>
      </c>
      <c r="AM37"/>
    </row>
    <row r="38" spans="2:39" ht="12">
      <c r="B38" s="228"/>
      <c r="C38" s="263"/>
      <c r="D38" s="380"/>
      <c r="E38" s="434"/>
      <c r="F38" s="195"/>
      <c r="G38" s="195"/>
      <c r="H38" s="195"/>
      <c r="I38" s="205"/>
      <c r="J38" s="205"/>
      <c r="K38" s="205"/>
      <c r="L38" s="205"/>
      <c r="M38" s="205"/>
      <c r="N38" s="205"/>
      <c r="O38" s="205"/>
      <c r="P38" s="205"/>
      <c r="Q38" s="205"/>
      <c r="R38" s="205"/>
      <c r="S38" s="205"/>
      <c r="T38" s="205"/>
      <c r="U38" s="205"/>
      <c r="V38" s="205"/>
      <c r="W38" s="205"/>
      <c r="X38" s="205"/>
      <c r="Y38" s="205"/>
      <c r="Z38" s="205"/>
      <c r="AA38" s="205"/>
      <c r="AB38" s="205"/>
      <c r="AC38" s="205"/>
      <c r="AD38" s="205"/>
      <c r="AE38" s="205"/>
      <c r="AF38" s="205"/>
      <c r="AG38" s="205"/>
      <c r="AH38" s="205"/>
      <c r="AI38" s="205"/>
      <c r="AJ38" s="205"/>
      <c r="AK38" s="205"/>
      <c r="AL38" s="206"/>
      <c r="AM38"/>
    </row>
    <row r="39" spans="2:38" s="9" customFormat="1" ht="12">
      <c r="B39" s="392" t="s">
        <v>31</v>
      </c>
      <c r="C39" s="393" t="s">
        <v>229</v>
      </c>
      <c r="D39" s="394"/>
      <c r="E39" s="394"/>
      <c r="F39" s="395"/>
      <c r="G39" s="395"/>
      <c r="H39" s="395"/>
      <c r="I39" s="396">
        <f>Summary!D95</f>
        <v>5940000</v>
      </c>
      <c r="J39" s="396">
        <f>Summary!E95</f>
        <v>5940000</v>
      </c>
      <c r="K39" s="396">
        <f>Summary!F95</f>
        <v>5940000</v>
      </c>
      <c r="L39" s="396">
        <f>Summary!G95</f>
        <v>5940000</v>
      </c>
      <c r="M39" s="396">
        <f>Summary!H95</f>
        <v>5940000</v>
      </c>
      <c r="N39" s="396">
        <f>Summary!I95</f>
        <v>5940000</v>
      </c>
      <c r="O39" s="396">
        <f>Summary!J95</f>
        <v>5940000</v>
      </c>
      <c r="P39" s="396">
        <f>Summary!K95</f>
        <v>7333000</v>
      </c>
      <c r="Q39" s="396">
        <f>Summary!L95</f>
        <v>7333000</v>
      </c>
      <c r="R39" s="396">
        <f>Summary!M95</f>
        <v>7333000</v>
      </c>
      <c r="S39" s="396">
        <f>Summary!N95</f>
        <v>3673000</v>
      </c>
      <c r="T39" s="396">
        <f>Summary!O95</f>
        <v>3673000</v>
      </c>
      <c r="U39" s="396">
        <f>Summary!P95</f>
        <v>3673000</v>
      </c>
      <c r="V39" s="396">
        <f>Summary!Q95</f>
        <v>3673000</v>
      </c>
      <c r="W39" s="396">
        <f>Summary!R95</f>
        <v>3673000</v>
      </c>
      <c r="X39" s="396">
        <f>Summary!S95</f>
        <v>3673000</v>
      </c>
      <c r="Y39" s="396">
        <f>Summary!T95</f>
        <v>3673000</v>
      </c>
      <c r="Z39" s="396">
        <f>Summary!U95</f>
        <v>2280000</v>
      </c>
      <c r="AA39" s="396">
        <f>Summary!V95</f>
        <v>2280000</v>
      </c>
      <c r="AB39" s="396">
        <f>Summary!W95</f>
        <v>2280000</v>
      </c>
      <c r="AC39" s="396">
        <f>Summary!X95</f>
        <v>0</v>
      </c>
      <c r="AD39" s="396">
        <f>Summary!Y95</f>
        <v>0</v>
      </c>
      <c r="AE39" s="396">
        <f>Summary!Z95</f>
        <v>0</v>
      </c>
      <c r="AF39" s="396">
        <f>Summary!AA95</f>
        <v>0</v>
      </c>
      <c r="AG39" s="396">
        <f>Summary!AB95</f>
        <v>0</v>
      </c>
      <c r="AH39" s="396">
        <f>Summary!AC95</f>
        <v>0</v>
      </c>
      <c r="AI39" s="396">
        <f>Summary!AD95</f>
        <v>0</v>
      </c>
      <c r="AJ39" s="396">
        <f>Summary!AE95</f>
        <v>0</v>
      </c>
      <c r="AK39" s="396">
        <f>Summary!AF95</f>
        <v>0</v>
      </c>
      <c r="AL39" s="397">
        <f>Summary!AG95</f>
        <v>0</v>
      </c>
    </row>
    <row r="40" spans="2:38" s="28" customFormat="1" ht="12">
      <c r="B40" s="231" t="s">
        <v>287</v>
      </c>
      <c r="C40" s="270" t="s">
        <v>112</v>
      </c>
      <c r="D40" s="232"/>
      <c r="E40" s="435"/>
      <c r="F40" s="232"/>
      <c r="G40" s="232"/>
      <c r="H40" s="232"/>
      <c r="I40" s="233">
        <f>I35-I39</f>
        <v>12946800</v>
      </c>
      <c r="J40" s="233">
        <f aca="true" t="shared" si="8" ref="J40:AL40">J35-J39</f>
        <v>12946800</v>
      </c>
      <c r="K40" s="233">
        <f t="shared" si="8"/>
        <v>12946800</v>
      </c>
      <c r="L40" s="233">
        <f t="shared" si="8"/>
        <v>12946800</v>
      </c>
      <c r="M40" s="233">
        <f t="shared" si="8"/>
        <v>12946800</v>
      </c>
      <c r="N40" s="233">
        <f t="shared" si="8"/>
        <v>12946800</v>
      </c>
      <c r="O40" s="233">
        <f t="shared" si="8"/>
        <v>-983200</v>
      </c>
      <c r="P40" s="233">
        <f t="shared" si="8"/>
        <v>11553800</v>
      </c>
      <c r="Q40" s="233">
        <f t="shared" si="8"/>
        <v>11553800</v>
      </c>
      <c r="R40" s="233">
        <f t="shared" si="8"/>
        <v>11553800</v>
      </c>
      <c r="S40" s="233">
        <f t="shared" si="8"/>
        <v>15213800</v>
      </c>
      <c r="T40" s="233">
        <f t="shared" si="8"/>
        <v>15213800</v>
      </c>
      <c r="U40" s="233">
        <f t="shared" si="8"/>
        <v>15213800</v>
      </c>
      <c r="V40" s="233">
        <f t="shared" si="8"/>
        <v>15213800</v>
      </c>
      <c r="W40" s="233">
        <f t="shared" si="8"/>
        <v>15213800</v>
      </c>
      <c r="X40" s="233">
        <f t="shared" si="8"/>
        <v>15213800</v>
      </c>
      <c r="Y40" s="233">
        <f t="shared" si="8"/>
        <v>15213800</v>
      </c>
      <c r="Z40" s="233">
        <f t="shared" si="8"/>
        <v>16606800</v>
      </c>
      <c r="AA40" s="233">
        <f t="shared" si="8"/>
        <v>16606800</v>
      </c>
      <c r="AB40" s="233">
        <f t="shared" si="8"/>
        <v>16606800</v>
      </c>
      <c r="AC40" s="233">
        <f t="shared" si="8"/>
        <v>18886800</v>
      </c>
      <c r="AD40" s="233">
        <f t="shared" si="8"/>
        <v>18886800</v>
      </c>
      <c r="AE40" s="233">
        <f t="shared" si="8"/>
        <v>18886800</v>
      </c>
      <c r="AF40" s="233">
        <f t="shared" si="8"/>
        <v>18886800</v>
      </c>
      <c r="AG40" s="233">
        <f t="shared" si="8"/>
        <v>18886800</v>
      </c>
      <c r="AH40" s="233">
        <f t="shared" si="8"/>
        <v>18886800</v>
      </c>
      <c r="AI40" s="233">
        <f t="shared" si="8"/>
        <v>18886800</v>
      </c>
      <c r="AJ40" s="233">
        <f t="shared" si="8"/>
        <v>18886800</v>
      </c>
      <c r="AK40" s="233">
        <f t="shared" si="8"/>
        <v>18886800</v>
      </c>
      <c r="AL40" s="398">
        <f t="shared" si="8"/>
        <v>27206800</v>
      </c>
    </row>
    <row r="41" spans="2:39" ht="12">
      <c r="B41" s="256" t="s">
        <v>118</v>
      </c>
      <c r="C41" s="271" t="s">
        <v>110</v>
      </c>
      <c r="D41" s="257">
        <f>Summary!E50</f>
        <v>0.34</v>
      </c>
      <c r="E41" s="436"/>
      <c r="F41" s="209"/>
      <c r="G41" s="209"/>
      <c r="H41" s="209"/>
      <c r="I41" s="210">
        <f>H40*$D$41</f>
        <v>0</v>
      </c>
      <c r="J41" s="210">
        <f>I40*$D$41</f>
        <v>4401912</v>
      </c>
      <c r="K41" s="210">
        <f aca="true" t="shared" si="9" ref="K41:AL41">J40*$D$41</f>
        <v>4401912</v>
      </c>
      <c r="L41" s="210">
        <f t="shared" si="9"/>
        <v>4401912</v>
      </c>
      <c r="M41" s="210">
        <f t="shared" si="9"/>
        <v>4401912</v>
      </c>
      <c r="N41" s="210">
        <f t="shared" si="9"/>
        <v>4401912</v>
      </c>
      <c r="O41" s="210">
        <f t="shared" si="9"/>
        <v>4401912</v>
      </c>
      <c r="P41" s="210">
        <f t="shared" si="9"/>
        <v>-334288</v>
      </c>
      <c r="Q41" s="210">
        <f t="shared" si="9"/>
        <v>3928292.0000000005</v>
      </c>
      <c r="R41" s="210">
        <f t="shared" si="9"/>
        <v>3928292.0000000005</v>
      </c>
      <c r="S41" s="210">
        <f t="shared" si="9"/>
        <v>3928292.0000000005</v>
      </c>
      <c r="T41" s="210">
        <f t="shared" si="9"/>
        <v>5172692</v>
      </c>
      <c r="U41" s="210">
        <f t="shared" si="9"/>
        <v>5172692</v>
      </c>
      <c r="V41" s="210">
        <f t="shared" si="9"/>
        <v>5172692</v>
      </c>
      <c r="W41" s="210">
        <f t="shared" si="9"/>
        <v>5172692</v>
      </c>
      <c r="X41" s="210">
        <f t="shared" si="9"/>
        <v>5172692</v>
      </c>
      <c r="Y41" s="210">
        <f t="shared" si="9"/>
        <v>5172692</v>
      </c>
      <c r="Z41" s="210">
        <f t="shared" si="9"/>
        <v>5172692</v>
      </c>
      <c r="AA41" s="210">
        <f t="shared" si="9"/>
        <v>5646312</v>
      </c>
      <c r="AB41" s="210">
        <f t="shared" si="9"/>
        <v>5646312</v>
      </c>
      <c r="AC41" s="210">
        <f t="shared" si="9"/>
        <v>5646312</v>
      </c>
      <c r="AD41" s="210">
        <f t="shared" si="9"/>
        <v>6421512</v>
      </c>
      <c r="AE41" s="210">
        <f t="shared" si="9"/>
        <v>6421512</v>
      </c>
      <c r="AF41" s="210">
        <f t="shared" si="9"/>
        <v>6421512</v>
      </c>
      <c r="AG41" s="210">
        <f t="shared" si="9"/>
        <v>6421512</v>
      </c>
      <c r="AH41" s="210">
        <f t="shared" si="9"/>
        <v>6421512</v>
      </c>
      <c r="AI41" s="210">
        <f t="shared" si="9"/>
        <v>6421512</v>
      </c>
      <c r="AJ41" s="210">
        <f t="shared" si="9"/>
        <v>6421512</v>
      </c>
      <c r="AK41" s="210">
        <f t="shared" si="9"/>
        <v>6421512</v>
      </c>
      <c r="AL41" s="333">
        <f t="shared" si="9"/>
        <v>6421512</v>
      </c>
      <c r="AM41"/>
    </row>
    <row r="42" spans="10:39" ht="4.5" customHeight="1">
      <c r="J42" s="176"/>
      <c r="K42" s="176"/>
      <c r="L42" s="176"/>
      <c r="M42" s="176"/>
      <c r="N42" s="176"/>
      <c r="O42" s="176"/>
      <c r="P42" s="176"/>
      <c r="Q42" s="176"/>
      <c r="R42" s="176"/>
      <c r="S42" s="176"/>
      <c r="T42" s="176"/>
      <c r="U42" s="176"/>
      <c r="V42" s="176"/>
      <c r="W42" s="176"/>
      <c r="X42" s="176"/>
      <c r="Y42" s="176"/>
      <c r="Z42" s="176"/>
      <c r="AA42" s="176"/>
      <c r="AB42" s="176"/>
      <c r="AC42" s="176"/>
      <c r="AD42" s="176"/>
      <c r="AE42" s="176"/>
      <c r="AF42" s="176"/>
      <c r="AG42" s="176"/>
      <c r="AH42" s="176"/>
      <c r="AI42" s="176"/>
      <c r="AJ42" s="176"/>
      <c r="AK42" s="176"/>
      <c r="AL42" s="176"/>
      <c r="AM42"/>
    </row>
    <row r="43" spans="2:38" s="15" customFormat="1" ht="12">
      <c r="B43" s="177" t="s">
        <v>9</v>
      </c>
      <c r="C43" s="272" t="s">
        <v>50</v>
      </c>
      <c r="D43" s="177"/>
      <c r="E43" s="178">
        <f aca="true" t="shared" si="10" ref="E43:AL43">E35-E37-E41</f>
        <v>-1600000</v>
      </c>
      <c r="F43" s="178">
        <f t="shared" si="10"/>
        <v>-27550000</v>
      </c>
      <c r="G43" s="178">
        <f t="shared" si="10"/>
        <v>-33410000</v>
      </c>
      <c r="H43" s="178">
        <f t="shared" si="10"/>
        <v>-20640000</v>
      </c>
      <c r="I43" s="178">
        <f t="shared" si="10"/>
        <v>18886800</v>
      </c>
      <c r="J43" s="179">
        <f t="shared" si="10"/>
        <v>14484888</v>
      </c>
      <c r="K43" s="179">
        <f t="shared" si="10"/>
        <v>14484888</v>
      </c>
      <c r="L43" s="179">
        <f t="shared" si="10"/>
        <v>14484888</v>
      </c>
      <c r="M43" s="179">
        <f t="shared" si="10"/>
        <v>14484888</v>
      </c>
      <c r="N43" s="179">
        <f t="shared" si="10"/>
        <v>14484888</v>
      </c>
      <c r="O43" s="179">
        <f t="shared" si="10"/>
        <v>554888</v>
      </c>
      <c r="P43" s="179">
        <f t="shared" si="10"/>
        <v>19221088</v>
      </c>
      <c r="Q43" s="179">
        <f t="shared" si="10"/>
        <v>14958508</v>
      </c>
      <c r="R43" s="179">
        <f t="shared" si="10"/>
        <v>14958508</v>
      </c>
      <c r="S43" s="179">
        <f t="shared" si="10"/>
        <v>14958508</v>
      </c>
      <c r="T43" s="179">
        <f t="shared" si="10"/>
        <v>13714108</v>
      </c>
      <c r="U43" s="179">
        <f t="shared" si="10"/>
        <v>13714108</v>
      </c>
      <c r="V43" s="179">
        <f t="shared" si="10"/>
        <v>13714108</v>
      </c>
      <c r="W43" s="179">
        <f t="shared" si="10"/>
        <v>13714108</v>
      </c>
      <c r="X43" s="179">
        <f t="shared" si="10"/>
        <v>13714108</v>
      </c>
      <c r="Y43" s="179">
        <f t="shared" si="10"/>
        <v>13714108</v>
      </c>
      <c r="Z43" s="179">
        <f t="shared" si="10"/>
        <v>13714108</v>
      </c>
      <c r="AA43" s="179">
        <f t="shared" si="10"/>
        <v>13240488</v>
      </c>
      <c r="AB43" s="179">
        <f t="shared" si="10"/>
        <v>13240488</v>
      </c>
      <c r="AC43" s="179">
        <f t="shared" si="10"/>
        <v>13240488</v>
      </c>
      <c r="AD43" s="179">
        <f t="shared" si="10"/>
        <v>12465288</v>
      </c>
      <c r="AE43" s="179">
        <f t="shared" si="10"/>
        <v>12465288</v>
      </c>
      <c r="AF43" s="179">
        <f t="shared" si="10"/>
        <v>12465288</v>
      </c>
      <c r="AG43" s="179">
        <f t="shared" si="10"/>
        <v>12465288</v>
      </c>
      <c r="AH43" s="179">
        <f t="shared" si="10"/>
        <v>12465288</v>
      </c>
      <c r="AI43" s="179">
        <f t="shared" si="10"/>
        <v>12465288</v>
      </c>
      <c r="AJ43" s="179">
        <f t="shared" si="10"/>
        <v>12465288</v>
      </c>
      <c r="AK43" s="179">
        <f t="shared" si="10"/>
        <v>12465288</v>
      </c>
      <c r="AL43" s="179">
        <f t="shared" si="10"/>
        <v>20785288</v>
      </c>
    </row>
    <row r="44" ht="4.5" customHeight="1"/>
    <row r="45" ht="12.75" thickBot="1"/>
    <row r="46" spans="2:8" ht="12.75" thickBot="1">
      <c r="B46" s="308" t="s">
        <v>8</v>
      </c>
      <c r="C46" s="309"/>
      <c r="D46" s="310">
        <f>IRR(E43:AL43,0.1)</f>
        <v>0.14466586402486348</v>
      </c>
      <c r="E46" s="241" t="s">
        <v>115</v>
      </c>
      <c r="G46" s="189"/>
      <c r="H46" s="189"/>
    </row>
    <row r="47" spans="2:8" ht="12">
      <c r="B47" s="240"/>
      <c r="C47" s="265"/>
      <c r="D47" s="304"/>
      <c r="E47" s="437"/>
      <c r="F47" s="241"/>
      <c r="G47" s="189"/>
      <c r="H47" s="189"/>
    </row>
    <row r="48" spans="2:39" s="303" customFormat="1" ht="4.5" customHeight="1" thickBot="1">
      <c r="B48" s="301"/>
      <c r="C48" s="302"/>
      <c r="D48" s="301"/>
      <c r="E48" s="301"/>
      <c r="F48" s="301"/>
      <c r="G48" s="301"/>
      <c r="H48" s="301"/>
      <c r="I48" s="301"/>
      <c r="J48" s="301"/>
      <c r="K48" s="301"/>
      <c r="L48" s="301"/>
      <c r="M48" s="301"/>
      <c r="N48" s="301"/>
      <c r="O48" s="301"/>
      <c r="P48" s="301"/>
      <c r="Q48" s="301"/>
      <c r="R48" s="301"/>
      <c r="S48" s="301"/>
      <c r="T48" s="301"/>
      <c r="U48" s="301"/>
      <c r="V48" s="301"/>
      <c r="W48" s="301"/>
      <c r="X48" s="301"/>
      <c r="Y48" s="301"/>
      <c r="Z48" s="301"/>
      <c r="AA48" s="301"/>
      <c r="AB48" s="301"/>
      <c r="AC48" s="301"/>
      <c r="AD48" s="301"/>
      <c r="AE48" s="301"/>
      <c r="AF48" s="301"/>
      <c r="AG48" s="301"/>
      <c r="AH48" s="301"/>
      <c r="AI48" s="301"/>
      <c r="AJ48" s="301"/>
      <c r="AK48" s="301"/>
      <c r="AL48" s="301"/>
      <c r="AM48" s="301"/>
    </row>
    <row r="51" ht="12">
      <c r="B51" s="239" t="s">
        <v>79</v>
      </c>
    </row>
    <row r="52" spans="2:4" ht="12">
      <c r="B52" s="242" t="s">
        <v>113</v>
      </c>
      <c r="C52" s="274"/>
      <c r="D52" s="243">
        <f>Summary!K39</f>
        <v>0.1</v>
      </c>
    </row>
    <row r="53" spans="2:6" ht="3.75" customHeight="1">
      <c r="B53" s="237"/>
      <c r="C53" s="259"/>
      <c r="D53" s="237"/>
      <c r="E53" s="438"/>
      <c r="F53" s="237"/>
    </row>
    <row r="54" ht="12">
      <c r="AM54"/>
    </row>
    <row r="55" spans="2:38" s="238" customFormat="1" ht="12">
      <c r="B55" s="384" t="s">
        <v>139</v>
      </c>
      <c r="C55" s="385"/>
      <c r="D55" s="386"/>
      <c r="E55" s="413">
        <v>-3</v>
      </c>
      <c r="F55" s="386">
        <v>-2</v>
      </c>
      <c r="G55" s="386">
        <v>-1</v>
      </c>
      <c r="H55" s="386">
        <v>0</v>
      </c>
      <c r="I55" s="386">
        <v>1</v>
      </c>
      <c r="J55" s="386">
        <v>2</v>
      </c>
      <c r="K55" s="386">
        <v>3</v>
      </c>
      <c r="L55" s="386">
        <v>4</v>
      </c>
      <c r="M55" s="386">
        <v>5</v>
      </c>
      <c r="N55" s="386">
        <v>6</v>
      </c>
      <c r="O55" s="386">
        <v>7</v>
      </c>
      <c r="P55" s="386">
        <v>8</v>
      </c>
      <c r="Q55" s="386">
        <v>9</v>
      </c>
      <c r="R55" s="386">
        <v>10</v>
      </c>
      <c r="S55" s="386">
        <v>11</v>
      </c>
      <c r="T55" s="386">
        <v>12</v>
      </c>
      <c r="U55" s="386">
        <v>13</v>
      </c>
      <c r="V55" s="386">
        <v>14</v>
      </c>
      <c r="W55" s="386">
        <v>15</v>
      </c>
      <c r="X55" s="386">
        <v>16</v>
      </c>
      <c r="Y55" s="386">
        <v>17</v>
      </c>
      <c r="Z55" s="386">
        <v>18</v>
      </c>
      <c r="AA55" s="386">
        <v>19</v>
      </c>
      <c r="AB55" s="386">
        <v>20</v>
      </c>
      <c r="AC55" s="386">
        <v>21</v>
      </c>
      <c r="AD55" s="386">
        <v>22</v>
      </c>
      <c r="AE55" s="386">
        <v>23</v>
      </c>
      <c r="AF55" s="386">
        <v>24</v>
      </c>
      <c r="AG55" s="386">
        <v>25</v>
      </c>
      <c r="AH55" s="386">
        <v>26</v>
      </c>
      <c r="AI55" s="386">
        <v>27</v>
      </c>
      <c r="AJ55" s="386">
        <v>28</v>
      </c>
      <c r="AK55" s="386">
        <v>29</v>
      </c>
      <c r="AL55" s="387">
        <v>30</v>
      </c>
    </row>
    <row r="56" spans="2:39" ht="3.75" customHeight="1">
      <c r="B56" s="388"/>
      <c r="C56" s="389"/>
      <c r="D56" s="209"/>
      <c r="E56" s="414"/>
      <c r="F56" s="209"/>
      <c r="G56" s="209"/>
      <c r="H56" s="209"/>
      <c r="I56" s="209"/>
      <c r="J56" s="209"/>
      <c r="K56" s="209"/>
      <c r="L56" s="209"/>
      <c r="M56" s="209"/>
      <c r="N56" s="209"/>
      <c r="O56" s="209"/>
      <c r="P56" s="209"/>
      <c r="Q56" s="209"/>
      <c r="R56" s="209"/>
      <c r="S56" s="209"/>
      <c r="T56" s="209"/>
      <c r="U56" s="209"/>
      <c r="V56" s="209"/>
      <c r="W56" s="209"/>
      <c r="X56" s="209"/>
      <c r="Y56" s="209"/>
      <c r="Z56" s="209"/>
      <c r="AA56" s="209"/>
      <c r="AB56" s="209"/>
      <c r="AC56" s="209"/>
      <c r="AD56" s="209"/>
      <c r="AE56" s="209"/>
      <c r="AF56" s="209"/>
      <c r="AG56" s="209"/>
      <c r="AH56" s="209"/>
      <c r="AI56" s="209"/>
      <c r="AJ56" s="209"/>
      <c r="AK56" s="209"/>
      <c r="AL56" s="390"/>
      <c r="AM56"/>
    </row>
    <row r="57" spans="2:39" ht="12">
      <c r="B57" s="246" t="s">
        <v>234</v>
      </c>
      <c r="C57" s="260" t="s">
        <v>104</v>
      </c>
      <c r="D57" s="247">
        <f>Summary!E49*(1+D52)</f>
        <v>260172.00000000003</v>
      </c>
      <c r="E57" s="429"/>
      <c r="F57" s="192"/>
      <c r="G57" s="192"/>
      <c r="H57" s="191"/>
      <c r="I57" s="192">
        <f>D57</f>
        <v>260172.00000000003</v>
      </c>
      <c r="J57" s="192">
        <f aca="true" t="shared" si="11" ref="J57:AL57">I57</f>
        <v>260172.00000000003</v>
      </c>
      <c r="K57" s="192">
        <f t="shared" si="11"/>
        <v>260172.00000000003</v>
      </c>
      <c r="L57" s="192">
        <f t="shared" si="11"/>
        <v>260172.00000000003</v>
      </c>
      <c r="M57" s="192">
        <f t="shared" si="11"/>
        <v>260172.00000000003</v>
      </c>
      <c r="N57" s="192">
        <f t="shared" si="11"/>
        <v>260172.00000000003</v>
      </c>
      <c r="O57" s="192">
        <f t="shared" si="11"/>
        <v>260172.00000000003</v>
      </c>
      <c r="P57" s="192">
        <f t="shared" si="11"/>
        <v>260172.00000000003</v>
      </c>
      <c r="Q57" s="192">
        <f t="shared" si="11"/>
        <v>260172.00000000003</v>
      </c>
      <c r="R57" s="192">
        <f t="shared" si="11"/>
        <v>260172.00000000003</v>
      </c>
      <c r="S57" s="192">
        <f t="shared" si="11"/>
        <v>260172.00000000003</v>
      </c>
      <c r="T57" s="192">
        <f t="shared" si="11"/>
        <v>260172.00000000003</v>
      </c>
      <c r="U57" s="192">
        <f t="shared" si="11"/>
        <v>260172.00000000003</v>
      </c>
      <c r="V57" s="192">
        <f t="shared" si="11"/>
        <v>260172.00000000003</v>
      </c>
      <c r="W57" s="192">
        <f t="shared" si="11"/>
        <v>260172.00000000003</v>
      </c>
      <c r="X57" s="192">
        <f t="shared" si="11"/>
        <v>260172.00000000003</v>
      </c>
      <c r="Y57" s="192">
        <f t="shared" si="11"/>
        <v>260172.00000000003</v>
      </c>
      <c r="Z57" s="192">
        <f t="shared" si="11"/>
        <v>260172.00000000003</v>
      </c>
      <c r="AA57" s="192">
        <f t="shared" si="11"/>
        <v>260172.00000000003</v>
      </c>
      <c r="AB57" s="192">
        <f t="shared" si="11"/>
        <v>260172.00000000003</v>
      </c>
      <c r="AC57" s="192">
        <f t="shared" si="11"/>
        <v>260172.00000000003</v>
      </c>
      <c r="AD57" s="192">
        <f t="shared" si="11"/>
        <v>260172.00000000003</v>
      </c>
      <c r="AE57" s="192">
        <f t="shared" si="11"/>
        <v>260172.00000000003</v>
      </c>
      <c r="AF57" s="192">
        <f t="shared" si="11"/>
        <v>260172.00000000003</v>
      </c>
      <c r="AG57" s="192">
        <f t="shared" si="11"/>
        <v>260172.00000000003</v>
      </c>
      <c r="AH57" s="192">
        <f t="shared" si="11"/>
        <v>260172.00000000003</v>
      </c>
      <c r="AI57" s="192">
        <f t="shared" si="11"/>
        <v>260172.00000000003</v>
      </c>
      <c r="AJ57" s="192">
        <f t="shared" si="11"/>
        <v>260172.00000000003</v>
      </c>
      <c r="AK57" s="192">
        <f t="shared" si="11"/>
        <v>260172.00000000003</v>
      </c>
      <c r="AL57" s="193">
        <f t="shared" si="11"/>
        <v>260172.00000000003</v>
      </c>
      <c r="AM57"/>
    </row>
    <row r="58" spans="2:39" ht="12">
      <c r="B58" s="194"/>
      <c r="C58" s="261"/>
      <c r="D58" s="195"/>
      <c r="E58" s="395"/>
      <c r="F58" s="195"/>
      <c r="G58" s="195"/>
      <c r="H58" s="195"/>
      <c r="I58" s="195"/>
      <c r="J58" s="195"/>
      <c r="K58" s="195"/>
      <c r="L58" s="195"/>
      <c r="M58" s="195"/>
      <c r="N58" s="195"/>
      <c r="O58" s="195"/>
      <c r="P58" s="195"/>
      <c r="Q58" s="195"/>
      <c r="R58" s="195"/>
      <c r="S58" s="195"/>
      <c r="T58" s="195"/>
      <c r="U58" s="195"/>
      <c r="V58" s="195"/>
      <c r="W58" s="195"/>
      <c r="X58" s="195"/>
      <c r="Y58" s="195"/>
      <c r="Z58" s="195"/>
      <c r="AA58" s="195"/>
      <c r="AB58" s="195"/>
      <c r="AC58" s="195"/>
      <c r="AD58" s="195"/>
      <c r="AE58" s="195"/>
      <c r="AF58" s="195"/>
      <c r="AG58" s="195"/>
      <c r="AH58" s="195"/>
      <c r="AI58" s="195"/>
      <c r="AJ58" s="195"/>
      <c r="AK58" s="195"/>
      <c r="AL58" s="196"/>
      <c r="AM58"/>
    </row>
    <row r="59" spans="2:39" ht="12">
      <c r="B59" s="248" t="s">
        <v>279</v>
      </c>
      <c r="C59" s="262" t="s">
        <v>105</v>
      </c>
      <c r="D59" s="249">
        <f>Summary!E48</f>
        <v>90</v>
      </c>
      <c r="E59" s="415"/>
      <c r="F59" s="197"/>
      <c r="G59" s="197"/>
      <c r="H59" s="195"/>
      <c r="I59" s="197">
        <f>D59</f>
        <v>90</v>
      </c>
      <c r="J59" s="197">
        <f>I59</f>
        <v>90</v>
      </c>
      <c r="K59" s="197">
        <f aca="true" t="shared" si="12" ref="K59:AL59">J59</f>
        <v>90</v>
      </c>
      <c r="L59" s="197">
        <f t="shared" si="12"/>
        <v>90</v>
      </c>
      <c r="M59" s="197">
        <f t="shared" si="12"/>
        <v>90</v>
      </c>
      <c r="N59" s="197">
        <f t="shared" si="12"/>
        <v>90</v>
      </c>
      <c r="O59" s="197">
        <f t="shared" si="12"/>
        <v>90</v>
      </c>
      <c r="P59" s="197">
        <f t="shared" si="12"/>
        <v>90</v>
      </c>
      <c r="Q59" s="197">
        <f t="shared" si="12"/>
        <v>90</v>
      </c>
      <c r="R59" s="197">
        <f t="shared" si="12"/>
        <v>90</v>
      </c>
      <c r="S59" s="197">
        <f t="shared" si="12"/>
        <v>90</v>
      </c>
      <c r="T59" s="197">
        <f t="shared" si="12"/>
        <v>90</v>
      </c>
      <c r="U59" s="197">
        <f t="shared" si="12"/>
        <v>90</v>
      </c>
      <c r="V59" s="197">
        <f t="shared" si="12"/>
        <v>90</v>
      </c>
      <c r="W59" s="197">
        <f t="shared" si="12"/>
        <v>90</v>
      </c>
      <c r="X59" s="197">
        <f t="shared" si="12"/>
        <v>90</v>
      </c>
      <c r="Y59" s="197">
        <f t="shared" si="12"/>
        <v>90</v>
      </c>
      <c r="Z59" s="197">
        <f t="shared" si="12"/>
        <v>90</v>
      </c>
      <c r="AA59" s="197">
        <f t="shared" si="12"/>
        <v>90</v>
      </c>
      <c r="AB59" s="197">
        <f t="shared" si="12"/>
        <v>90</v>
      </c>
      <c r="AC59" s="197">
        <f t="shared" si="12"/>
        <v>90</v>
      </c>
      <c r="AD59" s="197">
        <f t="shared" si="12"/>
        <v>90</v>
      </c>
      <c r="AE59" s="197">
        <f t="shared" si="12"/>
        <v>90</v>
      </c>
      <c r="AF59" s="197">
        <f t="shared" si="12"/>
        <v>90</v>
      </c>
      <c r="AG59" s="197">
        <f t="shared" si="12"/>
        <v>90</v>
      </c>
      <c r="AH59" s="197">
        <f t="shared" si="12"/>
        <v>90</v>
      </c>
      <c r="AI59" s="197">
        <f t="shared" si="12"/>
        <v>90</v>
      </c>
      <c r="AJ59" s="197">
        <f t="shared" si="12"/>
        <v>90</v>
      </c>
      <c r="AK59" s="197">
        <f t="shared" si="12"/>
        <v>90</v>
      </c>
      <c r="AL59" s="198">
        <f t="shared" si="12"/>
        <v>90</v>
      </c>
      <c r="AM59"/>
    </row>
    <row r="60" spans="1:38" s="416" customFormat="1" ht="12">
      <c r="A60" s="427"/>
      <c r="B60" s="248" t="s">
        <v>238</v>
      </c>
      <c r="C60" s="262" t="s">
        <v>52</v>
      </c>
      <c r="D60" s="426"/>
      <c r="E60" s="395"/>
      <c r="F60" s="195"/>
      <c r="G60" s="195"/>
      <c r="H60" s="195"/>
      <c r="I60" s="205">
        <f aca="true" t="shared" si="13" ref="I60:AL60">I57*I59</f>
        <v>23415480.000000004</v>
      </c>
      <c r="J60" s="205">
        <f t="shared" si="13"/>
        <v>23415480.000000004</v>
      </c>
      <c r="K60" s="205">
        <f t="shared" si="13"/>
        <v>23415480.000000004</v>
      </c>
      <c r="L60" s="205">
        <f t="shared" si="13"/>
        <v>23415480.000000004</v>
      </c>
      <c r="M60" s="205">
        <f t="shared" si="13"/>
        <v>23415480.000000004</v>
      </c>
      <c r="N60" s="205">
        <f t="shared" si="13"/>
        <v>23415480.000000004</v>
      </c>
      <c r="O60" s="205">
        <f t="shared" si="13"/>
        <v>23415480.000000004</v>
      </c>
      <c r="P60" s="205">
        <f t="shared" si="13"/>
        <v>23415480.000000004</v>
      </c>
      <c r="Q60" s="205">
        <f t="shared" si="13"/>
        <v>23415480.000000004</v>
      </c>
      <c r="R60" s="205">
        <f t="shared" si="13"/>
        <v>23415480.000000004</v>
      </c>
      <c r="S60" s="205">
        <f t="shared" si="13"/>
        <v>23415480.000000004</v>
      </c>
      <c r="T60" s="205">
        <f t="shared" si="13"/>
        <v>23415480.000000004</v>
      </c>
      <c r="U60" s="205">
        <f t="shared" si="13"/>
        <v>23415480.000000004</v>
      </c>
      <c r="V60" s="205">
        <f t="shared" si="13"/>
        <v>23415480.000000004</v>
      </c>
      <c r="W60" s="205">
        <f t="shared" si="13"/>
        <v>23415480.000000004</v>
      </c>
      <c r="X60" s="205">
        <f t="shared" si="13"/>
        <v>23415480.000000004</v>
      </c>
      <c r="Y60" s="205">
        <f t="shared" si="13"/>
        <v>23415480.000000004</v>
      </c>
      <c r="Z60" s="205">
        <f t="shared" si="13"/>
        <v>23415480.000000004</v>
      </c>
      <c r="AA60" s="205">
        <f t="shared" si="13"/>
        <v>23415480.000000004</v>
      </c>
      <c r="AB60" s="205">
        <f t="shared" si="13"/>
        <v>23415480.000000004</v>
      </c>
      <c r="AC60" s="205">
        <f t="shared" si="13"/>
        <v>23415480.000000004</v>
      </c>
      <c r="AD60" s="205">
        <f t="shared" si="13"/>
        <v>23415480.000000004</v>
      </c>
      <c r="AE60" s="205">
        <f t="shared" si="13"/>
        <v>23415480.000000004</v>
      </c>
      <c r="AF60" s="205">
        <f t="shared" si="13"/>
        <v>23415480.000000004</v>
      </c>
      <c r="AG60" s="205">
        <f t="shared" si="13"/>
        <v>23415480.000000004</v>
      </c>
      <c r="AH60" s="205">
        <f t="shared" si="13"/>
        <v>23415480.000000004</v>
      </c>
      <c r="AI60" s="205">
        <f t="shared" si="13"/>
        <v>23415480.000000004</v>
      </c>
      <c r="AJ60" s="205">
        <f t="shared" si="13"/>
        <v>23415480.000000004</v>
      </c>
      <c r="AK60" s="205">
        <f t="shared" si="13"/>
        <v>23415480.000000004</v>
      </c>
      <c r="AL60" s="206">
        <f t="shared" si="13"/>
        <v>23415480.000000004</v>
      </c>
    </row>
    <row r="61" spans="1:38" s="416" customFormat="1" ht="12">
      <c r="A61" s="427"/>
      <c r="B61" s="248" t="s">
        <v>1</v>
      </c>
      <c r="C61" s="262" t="s">
        <v>50</v>
      </c>
      <c r="D61" s="462">
        <f>D21</f>
        <v>8320000</v>
      </c>
      <c r="E61" s="395"/>
      <c r="F61" s="195"/>
      <c r="G61" s="195"/>
      <c r="H61" s="195"/>
      <c r="I61" s="205"/>
      <c r="J61" s="205"/>
      <c r="K61" s="205"/>
      <c r="L61" s="205"/>
      <c r="M61" s="205"/>
      <c r="N61" s="205"/>
      <c r="O61" s="205"/>
      <c r="P61" s="205"/>
      <c r="Q61" s="205"/>
      <c r="R61" s="205"/>
      <c r="S61" s="205"/>
      <c r="T61" s="205"/>
      <c r="U61" s="205"/>
      <c r="V61" s="205"/>
      <c r="W61" s="205"/>
      <c r="X61" s="205"/>
      <c r="Y61" s="205"/>
      <c r="Z61" s="205"/>
      <c r="AA61" s="205"/>
      <c r="AB61" s="205"/>
      <c r="AC61" s="205"/>
      <c r="AD61" s="205"/>
      <c r="AE61" s="205"/>
      <c r="AF61" s="205"/>
      <c r="AG61" s="205"/>
      <c r="AH61" s="205"/>
      <c r="AI61" s="205"/>
      <c r="AJ61" s="205"/>
      <c r="AK61" s="205"/>
      <c r="AL61" s="206">
        <f>AL21</f>
        <v>8320000</v>
      </c>
    </row>
    <row r="62" spans="2:38" s="15" customFormat="1" ht="12">
      <c r="B62" s="252" t="s">
        <v>261</v>
      </c>
      <c r="C62" s="264" t="s">
        <v>169</v>
      </c>
      <c r="D62" s="253"/>
      <c r="E62" s="430"/>
      <c r="F62" s="199"/>
      <c r="G62" s="199"/>
      <c r="H62" s="199"/>
      <c r="I62" s="200">
        <f>SUM(I60:I61)</f>
        <v>23415480.000000004</v>
      </c>
      <c r="J62" s="200">
        <f aca="true" t="shared" si="14" ref="J62:AL62">SUM(J60:J61)</f>
        <v>23415480.000000004</v>
      </c>
      <c r="K62" s="200">
        <f t="shared" si="14"/>
        <v>23415480.000000004</v>
      </c>
      <c r="L62" s="200">
        <f t="shared" si="14"/>
        <v>23415480.000000004</v>
      </c>
      <c r="M62" s="200">
        <f t="shared" si="14"/>
        <v>23415480.000000004</v>
      </c>
      <c r="N62" s="200">
        <f t="shared" si="14"/>
        <v>23415480.000000004</v>
      </c>
      <c r="O62" s="200">
        <f t="shared" si="14"/>
        <v>23415480.000000004</v>
      </c>
      <c r="P62" s="200">
        <f t="shared" si="14"/>
        <v>23415480.000000004</v>
      </c>
      <c r="Q62" s="200">
        <f t="shared" si="14"/>
        <v>23415480.000000004</v>
      </c>
      <c r="R62" s="200">
        <f t="shared" si="14"/>
        <v>23415480.000000004</v>
      </c>
      <c r="S62" s="200">
        <f t="shared" si="14"/>
        <v>23415480.000000004</v>
      </c>
      <c r="T62" s="200">
        <f t="shared" si="14"/>
        <v>23415480.000000004</v>
      </c>
      <c r="U62" s="200">
        <f t="shared" si="14"/>
        <v>23415480.000000004</v>
      </c>
      <c r="V62" s="200">
        <f t="shared" si="14"/>
        <v>23415480.000000004</v>
      </c>
      <c r="W62" s="200">
        <f t="shared" si="14"/>
        <v>23415480.000000004</v>
      </c>
      <c r="X62" s="200">
        <f t="shared" si="14"/>
        <v>23415480.000000004</v>
      </c>
      <c r="Y62" s="200">
        <f t="shared" si="14"/>
        <v>23415480.000000004</v>
      </c>
      <c r="Z62" s="200">
        <f t="shared" si="14"/>
        <v>23415480.000000004</v>
      </c>
      <c r="AA62" s="200">
        <f t="shared" si="14"/>
        <v>23415480.000000004</v>
      </c>
      <c r="AB62" s="200">
        <f t="shared" si="14"/>
        <v>23415480.000000004</v>
      </c>
      <c r="AC62" s="200">
        <f t="shared" si="14"/>
        <v>23415480.000000004</v>
      </c>
      <c r="AD62" s="200">
        <f t="shared" si="14"/>
        <v>23415480.000000004</v>
      </c>
      <c r="AE62" s="200">
        <f t="shared" si="14"/>
        <v>23415480.000000004</v>
      </c>
      <c r="AF62" s="200">
        <f t="shared" si="14"/>
        <v>23415480.000000004</v>
      </c>
      <c r="AG62" s="200">
        <f t="shared" si="14"/>
        <v>23415480.000000004</v>
      </c>
      <c r="AH62" s="200">
        <f t="shared" si="14"/>
        <v>23415480.000000004</v>
      </c>
      <c r="AI62" s="200">
        <f t="shared" si="14"/>
        <v>23415480.000000004</v>
      </c>
      <c r="AJ62" s="200">
        <f t="shared" si="14"/>
        <v>23415480.000000004</v>
      </c>
      <c r="AK62" s="200">
        <f t="shared" si="14"/>
        <v>23415480.000000004</v>
      </c>
      <c r="AL62" s="201">
        <f t="shared" si="14"/>
        <v>31735480.000000004</v>
      </c>
    </row>
    <row r="63" spans="9:39" ht="3.75" customHeight="1">
      <c r="I63" s="176"/>
      <c r="J63" s="176"/>
      <c r="K63" s="176"/>
      <c r="L63" s="176"/>
      <c r="M63" s="176"/>
      <c r="N63" s="176"/>
      <c r="O63" s="176"/>
      <c r="P63" s="176"/>
      <c r="Q63" s="176"/>
      <c r="R63" s="176"/>
      <c r="S63" s="176"/>
      <c r="T63" s="176"/>
      <c r="U63" s="176"/>
      <c r="V63" s="176"/>
      <c r="W63" s="176"/>
      <c r="X63" s="176"/>
      <c r="Y63" s="176"/>
      <c r="Z63" s="176"/>
      <c r="AA63" s="176"/>
      <c r="AB63" s="176"/>
      <c r="AC63" s="176"/>
      <c r="AD63" s="176"/>
      <c r="AE63" s="176"/>
      <c r="AF63" s="176"/>
      <c r="AG63" s="176"/>
      <c r="AH63" s="176"/>
      <c r="AI63" s="176"/>
      <c r="AJ63" s="176"/>
      <c r="AK63" s="176"/>
      <c r="AL63" s="176"/>
      <c r="AM63"/>
    </row>
    <row r="64" spans="2:39" ht="12">
      <c r="B64" s="244" t="s">
        <v>298</v>
      </c>
      <c r="C64" s="266" t="s">
        <v>147</v>
      </c>
      <c r="D64" s="245">
        <f>SUM(E64:H64)</f>
        <v>45600000</v>
      </c>
      <c r="E64" s="431">
        <f>E24</f>
        <v>0</v>
      </c>
      <c r="F64" s="202">
        <f aca="true" t="shared" si="15" ref="F64:H67">F24</f>
        <v>0</v>
      </c>
      <c r="G64" s="202">
        <f t="shared" si="15"/>
        <v>27360000</v>
      </c>
      <c r="H64" s="202">
        <f t="shared" si="15"/>
        <v>18240000</v>
      </c>
      <c r="I64" s="203"/>
      <c r="J64" s="203"/>
      <c r="K64" s="203"/>
      <c r="L64" s="203"/>
      <c r="M64" s="203"/>
      <c r="N64" s="203"/>
      <c r="O64" s="203"/>
      <c r="P64" s="203"/>
      <c r="Q64" s="203"/>
      <c r="R64" s="203"/>
      <c r="S64" s="203"/>
      <c r="T64" s="203"/>
      <c r="U64" s="203"/>
      <c r="V64" s="203"/>
      <c r="W64" s="203"/>
      <c r="X64" s="203"/>
      <c r="Y64" s="203"/>
      <c r="Z64" s="203"/>
      <c r="AA64" s="203"/>
      <c r="AB64" s="203"/>
      <c r="AC64" s="203"/>
      <c r="AD64" s="203"/>
      <c r="AE64" s="203"/>
      <c r="AF64" s="203"/>
      <c r="AG64" s="203"/>
      <c r="AH64" s="203"/>
      <c r="AI64" s="203"/>
      <c r="AJ64" s="203"/>
      <c r="AK64" s="203"/>
      <c r="AL64" s="204"/>
      <c r="AM64"/>
    </row>
    <row r="65" spans="2:39" ht="12">
      <c r="B65" s="250" t="s">
        <v>101</v>
      </c>
      <c r="C65" s="267" t="s">
        <v>50</v>
      </c>
      <c r="D65" s="251">
        <f>SUM(E65:H65)</f>
        <v>0</v>
      </c>
      <c r="E65" s="432">
        <f>E25</f>
        <v>0</v>
      </c>
      <c r="F65" s="207">
        <f t="shared" si="15"/>
        <v>0</v>
      </c>
      <c r="G65" s="207">
        <f t="shared" si="15"/>
        <v>0</v>
      </c>
      <c r="H65" s="207">
        <f t="shared" si="15"/>
        <v>0</v>
      </c>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6"/>
      <c r="AM65"/>
    </row>
    <row r="66" spans="2:39" ht="12">
      <c r="B66" s="250" t="s">
        <v>302</v>
      </c>
      <c r="C66" s="267" t="s">
        <v>50</v>
      </c>
      <c r="D66" s="251">
        <f>SUM(E66:H66)</f>
        <v>36600000</v>
      </c>
      <c r="E66" s="432">
        <f>E26</f>
        <v>1600000</v>
      </c>
      <c r="F66" s="207">
        <f t="shared" si="15"/>
        <v>27000000</v>
      </c>
      <c r="G66" s="207">
        <f t="shared" si="15"/>
        <v>5600000</v>
      </c>
      <c r="H66" s="207">
        <f t="shared" si="15"/>
        <v>2400000</v>
      </c>
      <c r="I66" s="205"/>
      <c r="J66" s="205"/>
      <c r="K66" s="205"/>
      <c r="L66" s="205"/>
      <c r="M66" s="205"/>
      <c r="N66" s="205"/>
      <c r="O66" s="205"/>
      <c r="P66" s="205"/>
      <c r="Q66" s="205"/>
      <c r="R66" s="205"/>
      <c r="S66" s="205"/>
      <c r="T66" s="205"/>
      <c r="U66" s="205"/>
      <c r="V66" s="205"/>
      <c r="W66" s="205"/>
      <c r="X66" s="205"/>
      <c r="Y66" s="205"/>
      <c r="Z66" s="205"/>
      <c r="AA66" s="205"/>
      <c r="AB66" s="205"/>
      <c r="AC66" s="205"/>
      <c r="AD66" s="205"/>
      <c r="AE66" s="205"/>
      <c r="AF66" s="205"/>
      <c r="AG66" s="205"/>
      <c r="AH66" s="205"/>
      <c r="AI66" s="205"/>
      <c r="AJ66" s="205"/>
      <c r="AK66" s="205"/>
      <c r="AL66" s="206"/>
      <c r="AM66"/>
    </row>
    <row r="67" spans="2:39" ht="12">
      <c r="B67" s="250" t="s">
        <v>102</v>
      </c>
      <c r="C67" s="267" t="s">
        <v>50</v>
      </c>
      <c r="D67" s="251">
        <f>SUM(E67:H67)</f>
        <v>1000000</v>
      </c>
      <c r="E67" s="432">
        <f>E27</f>
        <v>0</v>
      </c>
      <c r="F67" s="207">
        <f t="shared" si="15"/>
        <v>550000</v>
      </c>
      <c r="G67" s="207">
        <f t="shared" si="15"/>
        <v>450000</v>
      </c>
      <c r="H67" s="207">
        <f t="shared" si="15"/>
        <v>0</v>
      </c>
      <c r="I67" s="205"/>
      <c r="J67" s="205"/>
      <c r="K67" s="205"/>
      <c r="L67" s="205"/>
      <c r="M67" s="205"/>
      <c r="N67" s="205"/>
      <c r="O67" s="205"/>
      <c r="P67" s="205"/>
      <c r="Q67" s="205"/>
      <c r="R67" s="205"/>
      <c r="S67" s="205"/>
      <c r="T67" s="205"/>
      <c r="U67" s="205"/>
      <c r="V67" s="205"/>
      <c r="W67" s="205"/>
      <c r="X67" s="205"/>
      <c r="Y67" s="205"/>
      <c r="Z67" s="205"/>
      <c r="AA67" s="205"/>
      <c r="AB67" s="205"/>
      <c r="AC67" s="205"/>
      <c r="AD67" s="205"/>
      <c r="AE67" s="205"/>
      <c r="AF67" s="205"/>
      <c r="AG67" s="205"/>
      <c r="AH67" s="205"/>
      <c r="AI67" s="205"/>
      <c r="AJ67" s="205"/>
      <c r="AK67" s="205"/>
      <c r="AL67" s="206"/>
      <c r="AM67"/>
    </row>
    <row r="68" spans="2:39" ht="12">
      <c r="B68" s="250" t="s">
        <v>303</v>
      </c>
      <c r="C68" s="267" t="s">
        <v>50</v>
      </c>
      <c r="D68" s="251">
        <f>SUM(D64:D67)</f>
        <v>83200000</v>
      </c>
      <c r="E68" s="207">
        <f>SUM(E64:E67)</f>
        <v>1600000</v>
      </c>
      <c r="F68" s="207">
        <f>SUM(F64:F67)</f>
        <v>27550000</v>
      </c>
      <c r="G68" s="207">
        <f>SUM(G64:G67)</f>
        <v>33410000</v>
      </c>
      <c r="H68" s="207">
        <f>SUM(H64:H67)</f>
        <v>20640000</v>
      </c>
      <c r="I68" s="205"/>
      <c r="J68" s="205"/>
      <c r="K68" s="205"/>
      <c r="L68" s="205"/>
      <c r="M68" s="205"/>
      <c r="N68" s="205"/>
      <c r="O68" s="205"/>
      <c r="P68" s="205"/>
      <c r="Q68" s="205"/>
      <c r="R68" s="205"/>
      <c r="S68" s="205"/>
      <c r="T68" s="205"/>
      <c r="U68" s="205"/>
      <c r="V68" s="205"/>
      <c r="W68" s="205"/>
      <c r="X68" s="205"/>
      <c r="Y68" s="205"/>
      <c r="Z68" s="205"/>
      <c r="AA68" s="205"/>
      <c r="AB68" s="205"/>
      <c r="AC68" s="205"/>
      <c r="AD68" s="205"/>
      <c r="AE68" s="205"/>
      <c r="AF68" s="205"/>
      <c r="AG68" s="205"/>
      <c r="AH68" s="205"/>
      <c r="AI68" s="205"/>
      <c r="AJ68" s="205"/>
      <c r="AK68" s="205"/>
      <c r="AL68" s="206"/>
      <c r="AM68"/>
    </row>
    <row r="69" spans="2:39" ht="12">
      <c r="B69" s="194"/>
      <c r="C69" s="261"/>
      <c r="D69" s="195"/>
      <c r="E69" s="395"/>
      <c r="F69" s="207"/>
      <c r="G69" s="207"/>
      <c r="H69" s="207"/>
      <c r="I69" s="205"/>
      <c r="J69" s="205"/>
      <c r="K69" s="205"/>
      <c r="L69" s="205"/>
      <c r="M69" s="205"/>
      <c r="N69" s="205"/>
      <c r="O69" s="205"/>
      <c r="P69" s="205"/>
      <c r="Q69" s="205"/>
      <c r="R69" s="205"/>
      <c r="S69" s="205"/>
      <c r="T69" s="205"/>
      <c r="U69" s="205"/>
      <c r="V69" s="205"/>
      <c r="W69" s="205"/>
      <c r="X69" s="205"/>
      <c r="Y69" s="205"/>
      <c r="Z69" s="205"/>
      <c r="AA69" s="205"/>
      <c r="AB69" s="205"/>
      <c r="AC69" s="205"/>
      <c r="AD69" s="205"/>
      <c r="AE69" s="205"/>
      <c r="AF69" s="205"/>
      <c r="AG69" s="205"/>
      <c r="AH69" s="205"/>
      <c r="AI69" s="205"/>
      <c r="AJ69" s="205"/>
      <c r="AK69" s="205"/>
      <c r="AL69" s="206"/>
      <c r="AM69"/>
    </row>
    <row r="70" spans="2:39" ht="12">
      <c r="B70" s="250" t="s">
        <v>30</v>
      </c>
      <c r="C70" s="267" t="s">
        <v>13</v>
      </c>
      <c r="D70" s="251">
        <f>Summary!E62</f>
        <v>2400000</v>
      </c>
      <c r="E70" s="432"/>
      <c r="F70" s="207"/>
      <c r="G70" s="207"/>
      <c r="H70" s="195"/>
      <c r="I70" s="205">
        <f>D70</f>
        <v>2400000</v>
      </c>
      <c r="J70" s="205">
        <f>I70</f>
        <v>2400000</v>
      </c>
      <c r="K70" s="205">
        <f aca="true" t="shared" si="16" ref="K70:AL70">J70</f>
        <v>2400000</v>
      </c>
      <c r="L70" s="205">
        <f t="shared" si="16"/>
        <v>2400000</v>
      </c>
      <c r="M70" s="205">
        <f t="shared" si="16"/>
        <v>2400000</v>
      </c>
      <c r="N70" s="205">
        <f t="shared" si="16"/>
        <v>2400000</v>
      </c>
      <c r="O70" s="205">
        <f t="shared" si="16"/>
        <v>2400000</v>
      </c>
      <c r="P70" s="205">
        <f t="shared" si="16"/>
        <v>2400000</v>
      </c>
      <c r="Q70" s="205">
        <f t="shared" si="16"/>
        <v>2400000</v>
      </c>
      <c r="R70" s="205">
        <f t="shared" si="16"/>
        <v>2400000</v>
      </c>
      <c r="S70" s="205">
        <f t="shared" si="16"/>
        <v>2400000</v>
      </c>
      <c r="T70" s="205">
        <f t="shared" si="16"/>
        <v>2400000</v>
      </c>
      <c r="U70" s="205">
        <f t="shared" si="16"/>
        <v>2400000</v>
      </c>
      <c r="V70" s="205">
        <f t="shared" si="16"/>
        <v>2400000</v>
      </c>
      <c r="W70" s="205">
        <f t="shared" si="16"/>
        <v>2400000</v>
      </c>
      <c r="X70" s="205">
        <f t="shared" si="16"/>
        <v>2400000</v>
      </c>
      <c r="Y70" s="205">
        <f t="shared" si="16"/>
        <v>2400000</v>
      </c>
      <c r="Z70" s="205">
        <f t="shared" si="16"/>
        <v>2400000</v>
      </c>
      <c r="AA70" s="205">
        <f t="shared" si="16"/>
        <v>2400000</v>
      </c>
      <c r="AB70" s="205">
        <f t="shared" si="16"/>
        <v>2400000</v>
      </c>
      <c r="AC70" s="205">
        <f t="shared" si="16"/>
        <v>2400000</v>
      </c>
      <c r="AD70" s="205">
        <f t="shared" si="16"/>
        <v>2400000</v>
      </c>
      <c r="AE70" s="205">
        <f t="shared" si="16"/>
        <v>2400000</v>
      </c>
      <c r="AF70" s="205">
        <f t="shared" si="16"/>
        <v>2400000</v>
      </c>
      <c r="AG70" s="205">
        <f t="shared" si="16"/>
        <v>2400000</v>
      </c>
      <c r="AH70" s="205">
        <f t="shared" si="16"/>
        <v>2400000</v>
      </c>
      <c r="AI70" s="205">
        <f t="shared" si="16"/>
        <v>2400000</v>
      </c>
      <c r="AJ70" s="205">
        <f t="shared" si="16"/>
        <v>2400000</v>
      </c>
      <c r="AK70" s="205">
        <f t="shared" si="16"/>
        <v>2400000</v>
      </c>
      <c r="AL70" s="206">
        <f t="shared" si="16"/>
        <v>2400000</v>
      </c>
      <c r="AM70"/>
    </row>
    <row r="71" spans="2:39" ht="12">
      <c r="B71" s="194"/>
      <c r="C71" s="261"/>
      <c r="D71" s="195"/>
      <c r="E71" s="395"/>
      <c r="F71" s="195"/>
      <c r="G71" s="195"/>
      <c r="H71" s="195"/>
      <c r="I71" s="205"/>
      <c r="J71" s="205"/>
      <c r="K71" s="205"/>
      <c r="L71" s="205"/>
      <c r="M71" s="205"/>
      <c r="N71" s="205"/>
      <c r="O71" s="205"/>
      <c r="P71" s="205"/>
      <c r="Q71" s="205"/>
      <c r="R71" s="205"/>
      <c r="S71" s="205"/>
      <c r="T71" s="205"/>
      <c r="U71" s="205"/>
      <c r="V71" s="205"/>
      <c r="W71" s="205"/>
      <c r="X71" s="205"/>
      <c r="Y71" s="205"/>
      <c r="Z71" s="205"/>
      <c r="AA71" s="205"/>
      <c r="AB71" s="205"/>
      <c r="AC71" s="205"/>
      <c r="AD71" s="205"/>
      <c r="AE71" s="205"/>
      <c r="AF71" s="205"/>
      <c r="AG71" s="205"/>
      <c r="AH71" s="205"/>
      <c r="AI71" s="205"/>
      <c r="AJ71" s="205"/>
      <c r="AK71" s="205"/>
      <c r="AL71" s="206"/>
      <c r="AM71"/>
    </row>
    <row r="72" spans="2:39" ht="12">
      <c r="B72" s="250" t="s">
        <v>54</v>
      </c>
      <c r="C72" s="267" t="s">
        <v>50</v>
      </c>
      <c r="D72" s="251"/>
      <c r="E72" s="432"/>
      <c r="F72" s="195"/>
      <c r="G72" s="195"/>
      <c r="H72" s="195"/>
      <c r="I72" s="205">
        <f aca="true" t="shared" si="17" ref="I72:V72">I32</f>
        <v>0</v>
      </c>
      <c r="J72" s="205">
        <f t="shared" si="17"/>
        <v>0</v>
      </c>
      <c r="K72" s="205">
        <f t="shared" si="17"/>
        <v>0</v>
      </c>
      <c r="L72" s="205">
        <f t="shared" si="17"/>
        <v>0</v>
      </c>
      <c r="M72" s="205">
        <f t="shared" si="17"/>
        <v>0</v>
      </c>
      <c r="N72" s="205">
        <f t="shared" si="17"/>
        <v>0</v>
      </c>
      <c r="O72" s="205">
        <f t="shared" si="17"/>
        <v>13930000</v>
      </c>
      <c r="P72" s="205">
        <f t="shared" si="17"/>
        <v>0</v>
      </c>
      <c r="Q72" s="205">
        <f t="shared" si="17"/>
        <v>0</v>
      </c>
      <c r="R72" s="205">
        <f t="shared" si="17"/>
        <v>0</v>
      </c>
      <c r="S72" s="205">
        <f t="shared" si="17"/>
        <v>0</v>
      </c>
      <c r="T72" s="205">
        <f t="shared" si="17"/>
        <v>0</v>
      </c>
      <c r="U72" s="205">
        <f t="shared" si="17"/>
        <v>0</v>
      </c>
      <c r="V72" s="205">
        <f t="shared" si="17"/>
        <v>0</v>
      </c>
      <c r="W72" s="205"/>
      <c r="X72" s="205">
        <f>W32</f>
        <v>0</v>
      </c>
      <c r="Y72" s="205">
        <f aca="true" t="shared" si="18" ref="Y72:AL72">Y32</f>
        <v>0</v>
      </c>
      <c r="Z72" s="205">
        <f t="shared" si="18"/>
        <v>0</v>
      </c>
      <c r="AA72" s="205">
        <f t="shared" si="18"/>
        <v>0</v>
      </c>
      <c r="AB72" s="205">
        <f t="shared" si="18"/>
        <v>0</v>
      </c>
      <c r="AC72" s="205">
        <f t="shared" si="18"/>
        <v>0</v>
      </c>
      <c r="AD72" s="205">
        <f t="shared" si="18"/>
        <v>0</v>
      </c>
      <c r="AE72" s="205">
        <f t="shared" si="18"/>
        <v>0</v>
      </c>
      <c r="AF72" s="205">
        <f t="shared" si="18"/>
        <v>0</v>
      </c>
      <c r="AG72" s="205">
        <f t="shared" si="18"/>
        <v>0</v>
      </c>
      <c r="AH72" s="205">
        <f t="shared" si="18"/>
        <v>0</v>
      </c>
      <c r="AI72" s="205">
        <f t="shared" si="18"/>
        <v>0</v>
      </c>
      <c r="AJ72" s="205">
        <f t="shared" si="18"/>
        <v>0</v>
      </c>
      <c r="AK72" s="205">
        <f t="shared" si="18"/>
        <v>0</v>
      </c>
      <c r="AL72" s="206">
        <f t="shared" si="18"/>
        <v>0</v>
      </c>
      <c r="AM72"/>
    </row>
    <row r="73" spans="2:38" s="15" customFormat="1" ht="12">
      <c r="B73" s="254" t="s">
        <v>82</v>
      </c>
      <c r="C73" s="268" t="s">
        <v>50</v>
      </c>
      <c r="D73" s="255"/>
      <c r="E73" s="200">
        <f>SUM(E68:E72)</f>
        <v>1600000</v>
      </c>
      <c r="F73" s="200">
        <f>SUM(F68:F72)</f>
        <v>27550000</v>
      </c>
      <c r="G73" s="200">
        <f>SUM(G68:G72)</f>
        <v>33410000</v>
      </c>
      <c r="H73" s="200">
        <f>SUM(H68:H72)</f>
        <v>20640000</v>
      </c>
      <c r="I73" s="200">
        <f>SUM(I64:I72)</f>
        <v>2400000</v>
      </c>
      <c r="J73" s="200">
        <f>SUM(J64:J72)</f>
        <v>2400000</v>
      </c>
      <c r="K73" s="200">
        <f>SUM(K64:K72)</f>
        <v>2400000</v>
      </c>
      <c r="L73" s="200">
        <f>SUM(L64:L72)</f>
        <v>2400000</v>
      </c>
      <c r="M73" s="200">
        <f aca="true" t="shared" si="19" ref="M73:AL73">SUM(M64:M72)</f>
        <v>2400000</v>
      </c>
      <c r="N73" s="200">
        <f t="shared" si="19"/>
        <v>2400000</v>
      </c>
      <c r="O73" s="200">
        <f t="shared" si="19"/>
        <v>16330000</v>
      </c>
      <c r="P73" s="200">
        <f t="shared" si="19"/>
        <v>2400000</v>
      </c>
      <c r="Q73" s="200">
        <f t="shared" si="19"/>
        <v>2400000</v>
      </c>
      <c r="R73" s="200">
        <f t="shared" si="19"/>
        <v>2400000</v>
      </c>
      <c r="S73" s="200">
        <f t="shared" si="19"/>
        <v>2400000</v>
      </c>
      <c r="T73" s="200">
        <f t="shared" si="19"/>
        <v>2400000</v>
      </c>
      <c r="U73" s="200">
        <f t="shared" si="19"/>
        <v>2400000</v>
      </c>
      <c r="V73" s="200">
        <f t="shared" si="19"/>
        <v>2400000</v>
      </c>
      <c r="W73" s="200">
        <f t="shared" si="19"/>
        <v>2400000</v>
      </c>
      <c r="X73" s="200">
        <f t="shared" si="19"/>
        <v>2400000</v>
      </c>
      <c r="Y73" s="200">
        <f t="shared" si="19"/>
        <v>2400000</v>
      </c>
      <c r="Z73" s="200">
        <f t="shared" si="19"/>
        <v>2400000</v>
      </c>
      <c r="AA73" s="200">
        <f t="shared" si="19"/>
        <v>2400000</v>
      </c>
      <c r="AB73" s="200">
        <f t="shared" si="19"/>
        <v>2400000</v>
      </c>
      <c r="AC73" s="200">
        <f t="shared" si="19"/>
        <v>2400000</v>
      </c>
      <c r="AD73" s="200">
        <f t="shared" si="19"/>
        <v>2400000</v>
      </c>
      <c r="AE73" s="200">
        <f t="shared" si="19"/>
        <v>2400000</v>
      </c>
      <c r="AF73" s="200">
        <f t="shared" si="19"/>
        <v>2400000</v>
      </c>
      <c r="AG73" s="200">
        <f t="shared" si="19"/>
        <v>2400000</v>
      </c>
      <c r="AH73" s="200">
        <f t="shared" si="19"/>
        <v>2400000</v>
      </c>
      <c r="AI73" s="200">
        <f t="shared" si="19"/>
        <v>2400000</v>
      </c>
      <c r="AJ73" s="200">
        <f t="shared" si="19"/>
        <v>2400000</v>
      </c>
      <c r="AK73" s="200">
        <f t="shared" si="19"/>
        <v>2400000</v>
      </c>
      <c r="AL73" s="201">
        <f t="shared" si="19"/>
        <v>2400000</v>
      </c>
    </row>
    <row r="74" spans="5:39" ht="3.75" customHeight="1">
      <c r="E74" s="174"/>
      <c r="I74" s="176"/>
      <c r="J74" s="176"/>
      <c r="K74" s="176"/>
      <c r="L74" s="176"/>
      <c r="M74" s="176"/>
      <c r="N74" s="176"/>
      <c r="O74" s="176"/>
      <c r="P74" s="176"/>
      <c r="Q74" s="176"/>
      <c r="R74" s="176"/>
      <c r="S74" s="176"/>
      <c r="T74" s="176"/>
      <c r="U74" s="176"/>
      <c r="V74" s="176"/>
      <c r="W74" s="176"/>
      <c r="X74" s="176"/>
      <c r="Y74" s="176"/>
      <c r="Z74" s="176"/>
      <c r="AA74" s="176"/>
      <c r="AB74" s="176"/>
      <c r="AC74" s="176"/>
      <c r="AD74" s="176"/>
      <c r="AE74" s="176"/>
      <c r="AF74" s="176"/>
      <c r="AG74" s="176"/>
      <c r="AH74" s="176"/>
      <c r="AI74" s="176"/>
      <c r="AJ74" s="176"/>
      <c r="AK74" s="176"/>
      <c r="AL74" s="176"/>
      <c r="AM74"/>
    </row>
    <row r="75" spans="2:39" ht="12">
      <c r="B75" s="174" t="s">
        <v>231</v>
      </c>
      <c r="C75" s="258" t="s">
        <v>50</v>
      </c>
      <c r="E75" s="175">
        <f>E62-E73</f>
        <v>-1600000</v>
      </c>
      <c r="F75" s="175">
        <f>F62-F73</f>
        <v>-27550000</v>
      </c>
      <c r="G75" s="175">
        <f>G62-G73</f>
        <v>-33410000</v>
      </c>
      <c r="H75" s="175">
        <f>H62-H73</f>
        <v>-20640000</v>
      </c>
      <c r="I75" s="175">
        <f>I62-I73</f>
        <v>21015480.000000004</v>
      </c>
      <c r="J75" s="175">
        <f aca="true" t="shared" si="20" ref="J75:AL75">J62-J73</f>
        <v>21015480.000000004</v>
      </c>
      <c r="K75" s="175">
        <f t="shared" si="20"/>
        <v>21015480.000000004</v>
      </c>
      <c r="L75" s="175">
        <f t="shared" si="20"/>
        <v>21015480.000000004</v>
      </c>
      <c r="M75" s="175">
        <f t="shared" si="20"/>
        <v>21015480.000000004</v>
      </c>
      <c r="N75" s="175">
        <f t="shared" si="20"/>
        <v>21015480.000000004</v>
      </c>
      <c r="O75" s="175">
        <f t="shared" si="20"/>
        <v>7085480.000000004</v>
      </c>
      <c r="P75" s="175">
        <f t="shared" si="20"/>
        <v>21015480.000000004</v>
      </c>
      <c r="Q75" s="175">
        <f t="shared" si="20"/>
        <v>21015480.000000004</v>
      </c>
      <c r="R75" s="175">
        <f t="shared" si="20"/>
        <v>21015480.000000004</v>
      </c>
      <c r="S75" s="175">
        <f t="shared" si="20"/>
        <v>21015480.000000004</v>
      </c>
      <c r="T75" s="175">
        <f t="shared" si="20"/>
        <v>21015480.000000004</v>
      </c>
      <c r="U75" s="175">
        <f t="shared" si="20"/>
        <v>21015480.000000004</v>
      </c>
      <c r="V75" s="175">
        <f t="shared" si="20"/>
        <v>21015480.000000004</v>
      </c>
      <c r="W75" s="175">
        <f t="shared" si="20"/>
        <v>21015480.000000004</v>
      </c>
      <c r="X75" s="175">
        <f t="shared" si="20"/>
        <v>21015480.000000004</v>
      </c>
      <c r="Y75" s="175">
        <f t="shared" si="20"/>
        <v>21015480.000000004</v>
      </c>
      <c r="Z75" s="175">
        <f t="shared" si="20"/>
        <v>21015480.000000004</v>
      </c>
      <c r="AA75" s="175">
        <f t="shared" si="20"/>
        <v>21015480.000000004</v>
      </c>
      <c r="AB75" s="175">
        <f t="shared" si="20"/>
        <v>21015480.000000004</v>
      </c>
      <c r="AC75" s="175">
        <f t="shared" si="20"/>
        <v>21015480.000000004</v>
      </c>
      <c r="AD75" s="175">
        <f t="shared" si="20"/>
        <v>21015480.000000004</v>
      </c>
      <c r="AE75" s="175">
        <f t="shared" si="20"/>
        <v>21015480.000000004</v>
      </c>
      <c r="AF75" s="175">
        <f t="shared" si="20"/>
        <v>21015480.000000004</v>
      </c>
      <c r="AG75" s="175">
        <f t="shared" si="20"/>
        <v>21015480.000000004</v>
      </c>
      <c r="AH75" s="175">
        <f t="shared" si="20"/>
        <v>21015480.000000004</v>
      </c>
      <c r="AI75" s="175">
        <f t="shared" si="20"/>
        <v>21015480.000000004</v>
      </c>
      <c r="AJ75" s="175">
        <f t="shared" si="20"/>
        <v>21015480.000000004</v>
      </c>
      <c r="AK75" s="175">
        <f t="shared" si="20"/>
        <v>21015480.000000004</v>
      </c>
      <c r="AL75" s="175">
        <f t="shared" si="20"/>
        <v>29335480.000000004</v>
      </c>
      <c r="AM75"/>
    </row>
    <row r="76" spans="9:39" ht="3.75" customHeight="1">
      <c r="I76" s="176"/>
      <c r="J76" s="176"/>
      <c r="K76" s="176"/>
      <c r="L76" s="176"/>
      <c r="M76" s="176"/>
      <c r="N76" s="176"/>
      <c r="O76" s="176"/>
      <c r="P76" s="176"/>
      <c r="Q76" s="176"/>
      <c r="R76" s="176"/>
      <c r="S76" s="176"/>
      <c r="T76" s="176"/>
      <c r="U76" s="176"/>
      <c r="V76" s="176"/>
      <c r="W76" s="176"/>
      <c r="X76" s="176"/>
      <c r="Y76" s="176"/>
      <c r="Z76" s="176"/>
      <c r="AA76" s="176"/>
      <c r="AB76" s="176"/>
      <c r="AC76" s="176"/>
      <c r="AD76" s="176"/>
      <c r="AE76" s="176"/>
      <c r="AF76" s="176"/>
      <c r="AG76" s="176"/>
      <c r="AH76" s="176"/>
      <c r="AI76" s="176"/>
      <c r="AJ76" s="176"/>
      <c r="AK76" s="176"/>
      <c r="AL76" s="176"/>
      <c r="AM76"/>
    </row>
    <row r="77" spans="2:39" ht="12">
      <c r="B77" s="229" t="s">
        <v>193</v>
      </c>
      <c r="C77" s="269" t="s">
        <v>141</v>
      </c>
      <c r="D77" s="230">
        <f>Summary!E90</f>
        <v>0</v>
      </c>
      <c r="E77" s="433"/>
      <c r="F77" s="191"/>
      <c r="G77" s="191"/>
      <c r="H77" s="191"/>
      <c r="I77" s="203">
        <f>$D$37*I70</f>
        <v>0</v>
      </c>
      <c r="J77" s="203">
        <f aca="true" t="shared" si="21" ref="J77:AL77">$D$37*J70</f>
        <v>0</v>
      </c>
      <c r="K77" s="203">
        <f t="shared" si="21"/>
        <v>0</v>
      </c>
      <c r="L77" s="203">
        <f t="shared" si="21"/>
        <v>0</v>
      </c>
      <c r="M77" s="203">
        <f t="shared" si="21"/>
        <v>0</v>
      </c>
      <c r="N77" s="203">
        <f t="shared" si="21"/>
        <v>0</v>
      </c>
      <c r="O77" s="203">
        <f t="shared" si="21"/>
        <v>0</v>
      </c>
      <c r="P77" s="203">
        <f t="shared" si="21"/>
        <v>0</v>
      </c>
      <c r="Q77" s="203">
        <f t="shared" si="21"/>
        <v>0</v>
      </c>
      <c r="R77" s="203">
        <f t="shared" si="21"/>
        <v>0</v>
      </c>
      <c r="S77" s="203">
        <f t="shared" si="21"/>
        <v>0</v>
      </c>
      <c r="T77" s="203">
        <f t="shared" si="21"/>
        <v>0</v>
      </c>
      <c r="U77" s="203">
        <f t="shared" si="21"/>
        <v>0</v>
      </c>
      <c r="V77" s="203">
        <f t="shared" si="21"/>
        <v>0</v>
      </c>
      <c r="W77" s="203">
        <f t="shared" si="21"/>
        <v>0</v>
      </c>
      <c r="X77" s="203">
        <f t="shared" si="21"/>
        <v>0</v>
      </c>
      <c r="Y77" s="203">
        <f t="shared" si="21"/>
        <v>0</v>
      </c>
      <c r="Z77" s="203">
        <f t="shared" si="21"/>
        <v>0</v>
      </c>
      <c r="AA77" s="203">
        <f t="shared" si="21"/>
        <v>0</v>
      </c>
      <c r="AB77" s="203">
        <f t="shared" si="21"/>
        <v>0</v>
      </c>
      <c r="AC77" s="203">
        <f t="shared" si="21"/>
        <v>0</v>
      </c>
      <c r="AD77" s="203">
        <f t="shared" si="21"/>
        <v>0</v>
      </c>
      <c r="AE77" s="203">
        <f t="shared" si="21"/>
        <v>0</v>
      </c>
      <c r="AF77" s="203">
        <f t="shared" si="21"/>
        <v>0</v>
      </c>
      <c r="AG77" s="203">
        <f t="shared" si="21"/>
        <v>0</v>
      </c>
      <c r="AH77" s="203">
        <f t="shared" si="21"/>
        <v>0</v>
      </c>
      <c r="AI77" s="203">
        <f t="shared" si="21"/>
        <v>0</v>
      </c>
      <c r="AJ77" s="203">
        <f t="shared" si="21"/>
        <v>0</v>
      </c>
      <c r="AK77" s="203">
        <f t="shared" si="21"/>
        <v>0</v>
      </c>
      <c r="AL77" s="204">
        <f t="shared" si="21"/>
        <v>0</v>
      </c>
      <c r="AM77"/>
    </row>
    <row r="78" spans="2:39" ht="12">
      <c r="B78" s="228"/>
      <c r="C78" s="263"/>
      <c r="D78" s="380"/>
      <c r="E78" s="434"/>
      <c r="F78" s="195"/>
      <c r="G78" s="195"/>
      <c r="H78" s="195"/>
      <c r="I78" s="205"/>
      <c r="J78" s="205"/>
      <c r="K78" s="205"/>
      <c r="L78" s="205"/>
      <c r="M78" s="205"/>
      <c r="N78" s="205"/>
      <c r="O78" s="205"/>
      <c r="P78" s="205"/>
      <c r="Q78" s="205"/>
      <c r="R78" s="205"/>
      <c r="S78" s="205"/>
      <c r="T78" s="205"/>
      <c r="U78" s="205"/>
      <c r="V78" s="205"/>
      <c r="W78" s="205"/>
      <c r="X78" s="205"/>
      <c r="Y78" s="205"/>
      <c r="Z78" s="205"/>
      <c r="AA78" s="205"/>
      <c r="AB78" s="205"/>
      <c r="AC78" s="205"/>
      <c r="AD78" s="205"/>
      <c r="AE78" s="205"/>
      <c r="AF78" s="205"/>
      <c r="AG78" s="205"/>
      <c r="AH78" s="205"/>
      <c r="AI78" s="205"/>
      <c r="AJ78" s="205"/>
      <c r="AK78" s="205"/>
      <c r="AL78" s="206"/>
      <c r="AM78"/>
    </row>
    <row r="79" spans="2:39" ht="12">
      <c r="B79" s="194" t="str">
        <f>B39</f>
        <v>Total depreciation for upstream and downstream</v>
      </c>
      <c r="C79" s="261" t="s">
        <v>274</v>
      </c>
      <c r="D79" s="205"/>
      <c r="E79" s="394"/>
      <c r="F79" s="195"/>
      <c r="G79" s="195"/>
      <c r="H79" s="195"/>
      <c r="I79" s="208">
        <f>I39</f>
        <v>5940000</v>
      </c>
      <c r="J79" s="208">
        <f aca="true" t="shared" si="22" ref="J79:AL79">J39</f>
        <v>5940000</v>
      </c>
      <c r="K79" s="208">
        <f t="shared" si="22"/>
        <v>5940000</v>
      </c>
      <c r="L79" s="208">
        <f t="shared" si="22"/>
        <v>5940000</v>
      </c>
      <c r="M79" s="208">
        <f t="shared" si="22"/>
        <v>5940000</v>
      </c>
      <c r="N79" s="208">
        <f t="shared" si="22"/>
        <v>5940000</v>
      </c>
      <c r="O79" s="208">
        <f t="shared" si="22"/>
        <v>5940000</v>
      </c>
      <c r="P79" s="208">
        <f t="shared" si="22"/>
        <v>7333000</v>
      </c>
      <c r="Q79" s="208">
        <f t="shared" si="22"/>
        <v>7333000</v>
      </c>
      <c r="R79" s="208">
        <f t="shared" si="22"/>
        <v>7333000</v>
      </c>
      <c r="S79" s="208">
        <f t="shared" si="22"/>
        <v>3673000</v>
      </c>
      <c r="T79" s="208">
        <f t="shared" si="22"/>
        <v>3673000</v>
      </c>
      <c r="U79" s="208">
        <f t="shared" si="22"/>
        <v>3673000</v>
      </c>
      <c r="V79" s="208">
        <f t="shared" si="22"/>
        <v>3673000</v>
      </c>
      <c r="W79" s="208">
        <f t="shared" si="22"/>
        <v>3673000</v>
      </c>
      <c r="X79" s="208">
        <f t="shared" si="22"/>
        <v>3673000</v>
      </c>
      <c r="Y79" s="208">
        <f t="shared" si="22"/>
        <v>3673000</v>
      </c>
      <c r="Z79" s="208">
        <f t="shared" si="22"/>
        <v>2280000</v>
      </c>
      <c r="AA79" s="208">
        <f t="shared" si="22"/>
        <v>2280000</v>
      </c>
      <c r="AB79" s="208">
        <f t="shared" si="22"/>
        <v>2280000</v>
      </c>
      <c r="AC79" s="208">
        <f t="shared" si="22"/>
        <v>0</v>
      </c>
      <c r="AD79" s="208">
        <f t="shared" si="22"/>
        <v>0</v>
      </c>
      <c r="AE79" s="208">
        <f t="shared" si="22"/>
        <v>0</v>
      </c>
      <c r="AF79" s="208">
        <f t="shared" si="22"/>
        <v>0</v>
      </c>
      <c r="AG79" s="208">
        <f t="shared" si="22"/>
        <v>0</v>
      </c>
      <c r="AH79" s="208">
        <f t="shared" si="22"/>
        <v>0</v>
      </c>
      <c r="AI79" s="208">
        <f t="shared" si="22"/>
        <v>0</v>
      </c>
      <c r="AJ79" s="208">
        <f t="shared" si="22"/>
        <v>0</v>
      </c>
      <c r="AK79" s="208">
        <f t="shared" si="22"/>
        <v>0</v>
      </c>
      <c r="AL79" s="383">
        <f t="shared" si="22"/>
        <v>0</v>
      </c>
      <c r="AM79"/>
    </row>
    <row r="80" spans="2:38" s="28" customFormat="1" ht="12">
      <c r="B80" s="231" t="s">
        <v>287</v>
      </c>
      <c r="C80" s="270" t="s">
        <v>50</v>
      </c>
      <c r="D80" s="232"/>
      <c r="E80" s="435"/>
      <c r="F80" s="232"/>
      <c r="G80" s="232"/>
      <c r="H80" s="232"/>
      <c r="I80" s="233">
        <f aca="true" t="shared" si="23" ref="I80:AL80">I75-I79</f>
        <v>15075480.000000004</v>
      </c>
      <c r="J80" s="233">
        <f t="shared" si="23"/>
        <v>15075480.000000004</v>
      </c>
      <c r="K80" s="233">
        <f t="shared" si="23"/>
        <v>15075480.000000004</v>
      </c>
      <c r="L80" s="233">
        <f t="shared" si="23"/>
        <v>15075480.000000004</v>
      </c>
      <c r="M80" s="233">
        <f t="shared" si="23"/>
        <v>15075480.000000004</v>
      </c>
      <c r="N80" s="233">
        <f t="shared" si="23"/>
        <v>15075480.000000004</v>
      </c>
      <c r="O80" s="233">
        <f t="shared" si="23"/>
        <v>1145480.0000000037</v>
      </c>
      <c r="P80" s="233">
        <f t="shared" si="23"/>
        <v>13682480.000000004</v>
      </c>
      <c r="Q80" s="233">
        <f t="shared" si="23"/>
        <v>13682480.000000004</v>
      </c>
      <c r="R80" s="233">
        <f t="shared" si="23"/>
        <v>13682480.000000004</v>
      </c>
      <c r="S80" s="233">
        <f t="shared" si="23"/>
        <v>17342480.000000004</v>
      </c>
      <c r="T80" s="233">
        <f t="shared" si="23"/>
        <v>17342480.000000004</v>
      </c>
      <c r="U80" s="233">
        <f t="shared" si="23"/>
        <v>17342480.000000004</v>
      </c>
      <c r="V80" s="233">
        <f t="shared" si="23"/>
        <v>17342480.000000004</v>
      </c>
      <c r="W80" s="233">
        <f t="shared" si="23"/>
        <v>17342480.000000004</v>
      </c>
      <c r="X80" s="233">
        <f t="shared" si="23"/>
        <v>17342480.000000004</v>
      </c>
      <c r="Y80" s="233">
        <f t="shared" si="23"/>
        <v>17342480.000000004</v>
      </c>
      <c r="Z80" s="233">
        <f t="shared" si="23"/>
        <v>18735480.000000004</v>
      </c>
      <c r="AA80" s="233">
        <f t="shared" si="23"/>
        <v>18735480.000000004</v>
      </c>
      <c r="AB80" s="233">
        <f t="shared" si="23"/>
        <v>18735480.000000004</v>
      </c>
      <c r="AC80" s="233">
        <f t="shared" si="23"/>
        <v>21015480.000000004</v>
      </c>
      <c r="AD80" s="233">
        <f t="shared" si="23"/>
        <v>21015480.000000004</v>
      </c>
      <c r="AE80" s="233">
        <f t="shared" si="23"/>
        <v>21015480.000000004</v>
      </c>
      <c r="AF80" s="233">
        <f t="shared" si="23"/>
        <v>21015480.000000004</v>
      </c>
      <c r="AG80" s="233">
        <f t="shared" si="23"/>
        <v>21015480.000000004</v>
      </c>
      <c r="AH80" s="233">
        <f t="shared" si="23"/>
        <v>21015480.000000004</v>
      </c>
      <c r="AI80" s="233">
        <f t="shared" si="23"/>
        <v>21015480.000000004</v>
      </c>
      <c r="AJ80" s="233">
        <f t="shared" si="23"/>
        <v>21015480.000000004</v>
      </c>
      <c r="AK80" s="233">
        <f t="shared" si="23"/>
        <v>21015480.000000004</v>
      </c>
      <c r="AL80" s="398">
        <f t="shared" si="23"/>
        <v>29335480.000000004</v>
      </c>
    </row>
    <row r="81" spans="2:39" ht="12">
      <c r="B81" s="256" t="s">
        <v>118</v>
      </c>
      <c r="C81" s="271" t="s">
        <v>110</v>
      </c>
      <c r="D81" s="257">
        <f>Summary!E50</f>
        <v>0.34</v>
      </c>
      <c r="E81" s="436"/>
      <c r="F81" s="209"/>
      <c r="G81" s="209"/>
      <c r="H81" s="209"/>
      <c r="I81" s="210">
        <f>H80*$D$41</f>
        <v>0</v>
      </c>
      <c r="J81" s="210">
        <f>I80*$D$41</f>
        <v>5125663.200000002</v>
      </c>
      <c r="K81" s="210">
        <f aca="true" t="shared" si="24" ref="K81:AL81">J80*$D$41</f>
        <v>5125663.200000002</v>
      </c>
      <c r="L81" s="210">
        <f t="shared" si="24"/>
        <v>5125663.200000002</v>
      </c>
      <c r="M81" s="210">
        <f t="shared" si="24"/>
        <v>5125663.200000002</v>
      </c>
      <c r="N81" s="210">
        <f t="shared" si="24"/>
        <v>5125663.200000002</v>
      </c>
      <c r="O81" s="210">
        <f t="shared" si="24"/>
        <v>5125663.200000002</v>
      </c>
      <c r="P81" s="210">
        <f t="shared" si="24"/>
        <v>389463.2000000013</v>
      </c>
      <c r="Q81" s="210">
        <f t="shared" si="24"/>
        <v>4652043.200000002</v>
      </c>
      <c r="R81" s="210">
        <f t="shared" si="24"/>
        <v>4652043.200000002</v>
      </c>
      <c r="S81" s="210">
        <f t="shared" si="24"/>
        <v>4652043.200000002</v>
      </c>
      <c r="T81" s="210">
        <f t="shared" si="24"/>
        <v>5896443.200000002</v>
      </c>
      <c r="U81" s="210">
        <f t="shared" si="24"/>
        <v>5896443.200000002</v>
      </c>
      <c r="V81" s="210">
        <f t="shared" si="24"/>
        <v>5896443.200000002</v>
      </c>
      <c r="W81" s="210">
        <f t="shared" si="24"/>
        <v>5896443.200000002</v>
      </c>
      <c r="X81" s="210">
        <f t="shared" si="24"/>
        <v>5896443.200000002</v>
      </c>
      <c r="Y81" s="210">
        <f t="shared" si="24"/>
        <v>5896443.200000002</v>
      </c>
      <c r="Z81" s="210">
        <f t="shared" si="24"/>
        <v>5896443.200000002</v>
      </c>
      <c r="AA81" s="210">
        <f t="shared" si="24"/>
        <v>6370063.200000002</v>
      </c>
      <c r="AB81" s="210">
        <f t="shared" si="24"/>
        <v>6370063.200000002</v>
      </c>
      <c r="AC81" s="210">
        <f t="shared" si="24"/>
        <v>6370063.200000002</v>
      </c>
      <c r="AD81" s="210">
        <f t="shared" si="24"/>
        <v>7145263.200000002</v>
      </c>
      <c r="AE81" s="210">
        <f t="shared" si="24"/>
        <v>7145263.200000002</v>
      </c>
      <c r="AF81" s="210">
        <f t="shared" si="24"/>
        <v>7145263.200000002</v>
      </c>
      <c r="AG81" s="210">
        <f t="shared" si="24"/>
        <v>7145263.200000002</v>
      </c>
      <c r="AH81" s="210">
        <f t="shared" si="24"/>
        <v>7145263.200000002</v>
      </c>
      <c r="AI81" s="210">
        <f t="shared" si="24"/>
        <v>7145263.200000002</v>
      </c>
      <c r="AJ81" s="210">
        <f t="shared" si="24"/>
        <v>7145263.200000002</v>
      </c>
      <c r="AK81" s="210">
        <f t="shared" si="24"/>
        <v>7145263.200000002</v>
      </c>
      <c r="AL81" s="333">
        <f t="shared" si="24"/>
        <v>7145263.200000002</v>
      </c>
      <c r="AM81"/>
    </row>
    <row r="82" spans="10:39" ht="4.5" customHeight="1">
      <c r="J82" s="176"/>
      <c r="K82" s="176"/>
      <c r="L82" s="176"/>
      <c r="M82" s="176"/>
      <c r="N82" s="176"/>
      <c r="O82" s="176"/>
      <c r="P82" s="176"/>
      <c r="Q82" s="176"/>
      <c r="R82" s="176"/>
      <c r="S82" s="176"/>
      <c r="T82" s="176"/>
      <c r="U82" s="176"/>
      <c r="V82" s="176"/>
      <c r="W82" s="176"/>
      <c r="X82" s="176"/>
      <c r="Y82" s="176"/>
      <c r="Z82" s="176"/>
      <c r="AA82" s="176"/>
      <c r="AB82" s="176"/>
      <c r="AC82" s="176"/>
      <c r="AD82" s="176"/>
      <c r="AE82" s="176"/>
      <c r="AF82" s="176"/>
      <c r="AG82" s="176"/>
      <c r="AH82" s="176"/>
      <c r="AI82" s="176"/>
      <c r="AJ82" s="176"/>
      <c r="AK82" s="176"/>
      <c r="AL82" s="176"/>
      <c r="AM82"/>
    </row>
    <row r="83" spans="2:38" s="15" customFormat="1" ht="12">
      <c r="B83" s="177" t="s">
        <v>9</v>
      </c>
      <c r="C83" s="272" t="s">
        <v>50</v>
      </c>
      <c r="D83" s="177"/>
      <c r="E83" s="178">
        <f aca="true" t="shared" si="25" ref="E83:AL83">E75-E77-E81</f>
        <v>-1600000</v>
      </c>
      <c r="F83" s="178">
        <f t="shared" si="25"/>
        <v>-27550000</v>
      </c>
      <c r="G83" s="178">
        <f t="shared" si="25"/>
        <v>-33410000</v>
      </c>
      <c r="H83" s="178">
        <f t="shared" si="25"/>
        <v>-20640000</v>
      </c>
      <c r="I83" s="178">
        <f t="shared" si="25"/>
        <v>21015480.000000004</v>
      </c>
      <c r="J83" s="179">
        <f t="shared" si="25"/>
        <v>15889816.8</v>
      </c>
      <c r="K83" s="179">
        <f t="shared" si="25"/>
        <v>15889816.8</v>
      </c>
      <c r="L83" s="179">
        <f t="shared" si="25"/>
        <v>15889816.8</v>
      </c>
      <c r="M83" s="179">
        <f t="shared" si="25"/>
        <v>15889816.8</v>
      </c>
      <c r="N83" s="179">
        <f t="shared" si="25"/>
        <v>15889816.8</v>
      </c>
      <c r="O83" s="179">
        <f t="shared" si="25"/>
        <v>1959816.8000000017</v>
      </c>
      <c r="P83" s="179">
        <f t="shared" si="25"/>
        <v>20626016.8</v>
      </c>
      <c r="Q83" s="179">
        <f t="shared" si="25"/>
        <v>16363436.8</v>
      </c>
      <c r="R83" s="179">
        <f t="shared" si="25"/>
        <v>16363436.8</v>
      </c>
      <c r="S83" s="179">
        <f t="shared" si="25"/>
        <v>16363436.8</v>
      </c>
      <c r="T83" s="179">
        <f t="shared" si="25"/>
        <v>15119036.8</v>
      </c>
      <c r="U83" s="179">
        <f t="shared" si="25"/>
        <v>15119036.8</v>
      </c>
      <c r="V83" s="179">
        <f t="shared" si="25"/>
        <v>15119036.8</v>
      </c>
      <c r="W83" s="179">
        <f t="shared" si="25"/>
        <v>15119036.8</v>
      </c>
      <c r="X83" s="179">
        <f t="shared" si="25"/>
        <v>15119036.8</v>
      </c>
      <c r="Y83" s="179">
        <f t="shared" si="25"/>
        <v>15119036.8</v>
      </c>
      <c r="Z83" s="179">
        <f t="shared" si="25"/>
        <v>15119036.8</v>
      </c>
      <c r="AA83" s="179">
        <f t="shared" si="25"/>
        <v>14645416.8</v>
      </c>
      <c r="AB83" s="179">
        <f t="shared" si="25"/>
        <v>14645416.8</v>
      </c>
      <c r="AC83" s="179">
        <f t="shared" si="25"/>
        <v>14645416.8</v>
      </c>
      <c r="AD83" s="179">
        <f t="shared" si="25"/>
        <v>13870216.8</v>
      </c>
      <c r="AE83" s="179">
        <f t="shared" si="25"/>
        <v>13870216.8</v>
      </c>
      <c r="AF83" s="179">
        <f t="shared" si="25"/>
        <v>13870216.8</v>
      </c>
      <c r="AG83" s="179">
        <f t="shared" si="25"/>
        <v>13870216.8</v>
      </c>
      <c r="AH83" s="179">
        <f t="shared" si="25"/>
        <v>13870216.8</v>
      </c>
      <c r="AI83" s="179">
        <f t="shared" si="25"/>
        <v>13870216.8</v>
      </c>
      <c r="AJ83" s="179">
        <f t="shared" si="25"/>
        <v>13870216.8</v>
      </c>
      <c r="AK83" s="179">
        <f t="shared" si="25"/>
        <v>13870216.8</v>
      </c>
      <c r="AL83" s="179">
        <f t="shared" si="25"/>
        <v>22190216.8</v>
      </c>
    </row>
    <row r="84" ht="4.5" customHeight="1"/>
    <row r="85" ht="12.75" thickBot="1"/>
    <row r="86" spans="2:8" ht="12.75" thickBot="1">
      <c r="B86" s="308" t="s">
        <v>8</v>
      </c>
      <c r="C86" s="309"/>
      <c r="D86" s="310">
        <f>IRR(E83:AL83,0.1)</f>
        <v>0.15898843868409251</v>
      </c>
      <c r="E86" s="241" t="s">
        <v>242</v>
      </c>
      <c r="G86" s="189"/>
      <c r="H86" s="189"/>
    </row>
    <row r="87" spans="2:8" ht="12">
      <c r="B87" s="240"/>
      <c r="C87" s="265"/>
      <c r="D87" s="304"/>
      <c r="E87" s="437"/>
      <c r="F87" s="241"/>
      <c r="G87" s="189"/>
      <c r="H87" s="189"/>
    </row>
    <row r="88" spans="2:39" s="303" customFormat="1" ht="4.5" customHeight="1" thickBot="1">
      <c r="B88" s="301"/>
      <c r="C88" s="302"/>
      <c r="D88" s="301"/>
      <c r="E88" s="301"/>
      <c r="F88" s="301"/>
      <c r="G88" s="301"/>
      <c r="H88" s="301"/>
      <c r="I88" s="301"/>
      <c r="J88" s="301"/>
      <c r="K88" s="301"/>
      <c r="L88" s="301"/>
      <c r="M88" s="301"/>
      <c r="N88" s="301"/>
      <c r="O88" s="301"/>
      <c r="P88" s="301"/>
      <c r="Q88" s="301"/>
      <c r="R88" s="301"/>
      <c r="S88" s="301"/>
      <c r="T88" s="301"/>
      <c r="U88" s="301"/>
      <c r="V88" s="301"/>
      <c r="W88" s="301"/>
      <c r="X88" s="301"/>
      <c r="Y88" s="301"/>
      <c r="Z88" s="301"/>
      <c r="AA88" s="301"/>
      <c r="AB88" s="301"/>
      <c r="AC88" s="301"/>
      <c r="AD88" s="301"/>
      <c r="AE88" s="301"/>
      <c r="AF88" s="301"/>
      <c r="AG88" s="301"/>
      <c r="AH88" s="301"/>
      <c r="AI88" s="301"/>
      <c r="AJ88" s="301"/>
      <c r="AK88" s="301"/>
      <c r="AL88" s="301"/>
      <c r="AM88" s="301"/>
    </row>
    <row r="91" ht="12">
      <c r="B91" s="239" t="s">
        <v>171</v>
      </c>
    </row>
    <row r="92" spans="2:4" ht="12">
      <c r="B92" s="242" t="s">
        <v>5</v>
      </c>
      <c r="C92" s="274"/>
      <c r="D92" s="243">
        <f>Summary!K40</f>
        <v>0.1</v>
      </c>
    </row>
    <row r="93" spans="1:6" ht="4.5" customHeight="1">
      <c r="A93" s="238"/>
      <c r="B93" s="238"/>
      <c r="C93" s="275"/>
      <c r="D93" s="238"/>
      <c r="E93" s="439"/>
      <c r="F93" s="238"/>
    </row>
    <row r="94" ht="12">
      <c r="AM94"/>
    </row>
    <row r="95" spans="2:38" s="238" customFormat="1" ht="12">
      <c r="B95" s="384" t="s">
        <v>139</v>
      </c>
      <c r="C95" s="385"/>
      <c r="D95" s="386"/>
      <c r="E95" s="413">
        <v>-3</v>
      </c>
      <c r="F95" s="386">
        <v>-2</v>
      </c>
      <c r="G95" s="386">
        <v>-1</v>
      </c>
      <c r="H95" s="386">
        <v>0</v>
      </c>
      <c r="I95" s="386">
        <v>1</v>
      </c>
      <c r="J95" s="386">
        <v>2</v>
      </c>
      <c r="K95" s="386">
        <v>3</v>
      </c>
      <c r="L95" s="386">
        <v>4</v>
      </c>
      <c r="M95" s="386">
        <v>5</v>
      </c>
      <c r="N95" s="386">
        <v>6</v>
      </c>
      <c r="O95" s="386">
        <v>7</v>
      </c>
      <c r="P95" s="386">
        <v>8</v>
      </c>
      <c r="Q95" s="386">
        <v>9</v>
      </c>
      <c r="R95" s="386">
        <v>10</v>
      </c>
      <c r="S95" s="386">
        <v>11</v>
      </c>
      <c r="T95" s="386">
        <v>12</v>
      </c>
      <c r="U95" s="386">
        <v>13</v>
      </c>
      <c r="V95" s="386">
        <v>14</v>
      </c>
      <c r="W95" s="386">
        <v>15</v>
      </c>
      <c r="X95" s="386">
        <v>16</v>
      </c>
      <c r="Y95" s="386">
        <v>17</v>
      </c>
      <c r="Z95" s="386">
        <v>18</v>
      </c>
      <c r="AA95" s="386">
        <v>19</v>
      </c>
      <c r="AB95" s="386">
        <v>20</v>
      </c>
      <c r="AC95" s="386">
        <v>21</v>
      </c>
      <c r="AD95" s="386">
        <v>22</v>
      </c>
      <c r="AE95" s="386">
        <v>23</v>
      </c>
      <c r="AF95" s="386">
        <v>24</v>
      </c>
      <c r="AG95" s="386">
        <v>25</v>
      </c>
      <c r="AH95" s="386">
        <v>26</v>
      </c>
      <c r="AI95" s="386">
        <v>27</v>
      </c>
      <c r="AJ95" s="386">
        <v>28</v>
      </c>
      <c r="AK95" s="386">
        <v>29</v>
      </c>
      <c r="AL95" s="387">
        <v>30</v>
      </c>
    </row>
    <row r="96" spans="2:39" ht="3.75" customHeight="1">
      <c r="B96" s="388"/>
      <c r="C96" s="389"/>
      <c r="D96" s="209"/>
      <c r="E96" s="414"/>
      <c r="F96" s="209"/>
      <c r="G96" s="209"/>
      <c r="H96" s="209"/>
      <c r="I96" s="209"/>
      <c r="J96" s="209"/>
      <c r="K96" s="209"/>
      <c r="L96" s="209"/>
      <c r="M96" s="209"/>
      <c r="N96" s="209"/>
      <c r="O96" s="209"/>
      <c r="P96" s="209"/>
      <c r="Q96" s="209"/>
      <c r="R96" s="209"/>
      <c r="S96" s="209"/>
      <c r="T96" s="209"/>
      <c r="U96" s="209"/>
      <c r="V96" s="209"/>
      <c r="W96" s="209"/>
      <c r="X96" s="209"/>
      <c r="Y96" s="209"/>
      <c r="Z96" s="209"/>
      <c r="AA96" s="209"/>
      <c r="AB96" s="209"/>
      <c r="AC96" s="209"/>
      <c r="AD96" s="209"/>
      <c r="AE96" s="209"/>
      <c r="AF96" s="209"/>
      <c r="AG96" s="209"/>
      <c r="AH96" s="209"/>
      <c r="AI96" s="209"/>
      <c r="AJ96" s="209"/>
      <c r="AK96" s="209"/>
      <c r="AL96" s="390"/>
      <c r="AM96"/>
    </row>
    <row r="97" spans="2:39" ht="12">
      <c r="B97" s="246" t="s">
        <v>234</v>
      </c>
      <c r="C97" s="260" t="s">
        <v>104</v>
      </c>
      <c r="D97" s="247">
        <f>Summary!E49</f>
        <v>236520</v>
      </c>
      <c r="E97" s="429"/>
      <c r="F97" s="192"/>
      <c r="G97" s="192"/>
      <c r="H97" s="191"/>
      <c r="I97" s="192">
        <f>D97</f>
        <v>236520</v>
      </c>
      <c r="J97" s="192">
        <f aca="true" t="shared" si="26" ref="J97:AL97">I97</f>
        <v>236520</v>
      </c>
      <c r="K97" s="192">
        <f t="shared" si="26"/>
        <v>236520</v>
      </c>
      <c r="L97" s="192">
        <f t="shared" si="26"/>
        <v>236520</v>
      </c>
      <c r="M97" s="192">
        <f t="shared" si="26"/>
        <v>236520</v>
      </c>
      <c r="N97" s="192">
        <f t="shared" si="26"/>
        <v>236520</v>
      </c>
      <c r="O97" s="192">
        <f t="shared" si="26"/>
        <v>236520</v>
      </c>
      <c r="P97" s="192">
        <f t="shared" si="26"/>
        <v>236520</v>
      </c>
      <c r="Q97" s="192">
        <f t="shared" si="26"/>
        <v>236520</v>
      </c>
      <c r="R97" s="192">
        <f t="shared" si="26"/>
        <v>236520</v>
      </c>
      <c r="S97" s="192">
        <f t="shared" si="26"/>
        <v>236520</v>
      </c>
      <c r="T97" s="192">
        <f t="shared" si="26"/>
        <v>236520</v>
      </c>
      <c r="U97" s="192">
        <f t="shared" si="26"/>
        <v>236520</v>
      </c>
      <c r="V97" s="192">
        <f t="shared" si="26"/>
        <v>236520</v>
      </c>
      <c r="W97" s="192">
        <f t="shared" si="26"/>
        <v>236520</v>
      </c>
      <c r="X97" s="192">
        <f t="shared" si="26"/>
        <v>236520</v>
      </c>
      <c r="Y97" s="192">
        <f t="shared" si="26"/>
        <v>236520</v>
      </c>
      <c r="Z97" s="192">
        <f t="shared" si="26"/>
        <v>236520</v>
      </c>
      <c r="AA97" s="192">
        <f t="shared" si="26"/>
        <v>236520</v>
      </c>
      <c r="AB97" s="192">
        <f t="shared" si="26"/>
        <v>236520</v>
      </c>
      <c r="AC97" s="192">
        <f t="shared" si="26"/>
        <v>236520</v>
      </c>
      <c r="AD97" s="192">
        <f t="shared" si="26"/>
        <v>236520</v>
      </c>
      <c r="AE97" s="192">
        <f t="shared" si="26"/>
        <v>236520</v>
      </c>
      <c r="AF97" s="192">
        <f t="shared" si="26"/>
        <v>236520</v>
      </c>
      <c r="AG97" s="192">
        <f t="shared" si="26"/>
        <v>236520</v>
      </c>
      <c r="AH97" s="192">
        <f t="shared" si="26"/>
        <v>236520</v>
      </c>
      <c r="AI97" s="192">
        <f t="shared" si="26"/>
        <v>236520</v>
      </c>
      <c r="AJ97" s="192">
        <f t="shared" si="26"/>
        <v>236520</v>
      </c>
      <c r="AK97" s="192">
        <f t="shared" si="26"/>
        <v>236520</v>
      </c>
      <c r="AL97" s="193">
        <f t="shared" si="26"/>
        <v>236520</v>
      </c>
      <c r="AM97"/>
    </row>
    <row r="98" spans="2:39" ht="12">
      <c r="B98" s="194"/>
      <c r="C98" s="261"/>
      <c r="D98" s="195"/>
      <c r="E98" s="395"/>
      <c r="F98" s="195"/>
      <c r="G98" s="195"/>
      <c r="H98" s="195"/>
      <c r="I98" s="195"/>
      <c r="J98" s="195"/>
      <c r="K98" s="195"/>
      <c r="L98" s="195"/>
      <c r="M98" s="195"/>
      <c r="N98" s="195"/>
      <c r="O98" s="195"/>
      <c r="P98" s="195"/>
      <c r="Q98" s="195"/>
      <c r="R98" s="195"/>
      <c r="S98" s="195"/>
      <c r="T98" s="195"/>
      <c r="U98" s="195"/>
      <c r="V98" s="195"/>
      <c r="W98" s="195"/>
      <c r="X98" s="195"/>
      <c r="Y98" s="195"/>
      <c r="Z98" s="195"/>
      <c r="AA98" s="195"/>
      <c r="AB98" s="195"/>
      <c r="AC98" s="195"/>
      <c r="AD98" s="195"/>
      <c r="AE98" s="195"/>
      <c r="AF98" s="195"/>
      <c r="AG98" s="195"/>
      <c r="AH98" s="195"/>
      <c r="AI98" s="195"/>
      <c r="AJ98" s="195"/>
      <c r="AK98" s="195"/>
      <c r="AL98" s="196"/>
      <c r="AM98"/>
    </row>
    <row r="99" spans="2:39" ht="12">
      <c r="B99" s="248" t="s">
        <v>279</v>
      </c>
      <c r="C99" s="262" t="s">
        <v>105</v>
      </c>
      <c r="D99" s="249">
        <f>Summary!E48</f>
        <v>90</v>
      </c>
      <c r="E99" s="415"/>
      <c r="F99" s="197"/>
      <c r="G99" s="197"/>
      <c r="H99" s="195"/>
      <c r="I99" s="197">
        <f>D99</f>
        <v>90</v>
      </c>
      <c r="J99" s="197">
        <f>I99</f>
        <v>90</v>
      </c>
      <c r="K99" s="197">
        <f aca="true" t="shared" si="27" ref="K99:AL99">J99</f>
        <v>90</v>
      </c>
      <c r="L99" s="197">
        <f t="shared" si="27"/>
        <v>90</v>
      </c>
      <c r="M99" s="197">
        <f t="shared" si="27"/>
        <v>90</v>
      </c>
      <c r="N99" s="197">
        <f t="shared" si="27"/>
        <v>90</v>
      </c>
      <c r="O99" s="197">
        <f t="shared" si="27"/>
        <v>90</v>
      </c>
      <c r="P99" s="197">
        <f t="shared" si="27"/>
        <v>90</v>
      </c>
      <c r="Q99" s="197">
        <f t="shared" si="27"/>
        <v>90</v>
      </c>
      <c r="R99" s="197">
        <f t="shared" si="27"/>
        <v>90</v>
      </c>
      <c r="S99" s="197">
        <f t="shared" si="27"/>
        <v>90</v>
      </c>
      <c r="T99" s="197">
        <f t="shared" si="27"/>
        <v>90</v>
      </c>
      <c r="U99" s="197">
        <f t="shared" si="27"/>
        <v>90</v>
      </c>
      <c r="V99" s="197">
        <f t="shared" si="27"/>
        <v>90</v>
      </c>
      <c r="W99" s="197">
        <f t="shared" si="27"/>
        <v>90</v>
      </c>
      <c r="X99" s="197">
        <f t="shared" si="27"/>
        <v>90</v>
      </c>
      <c r="Y99" s="197">
        <f t="shared" si="27"/>
        <v>90</v>
      </c>
      <c r="Z99" s="197">
        <f t="shared" si="27"/>
        <v>90</v>
      </c>
      <c r="AA99" s="197">
        <f t="shared" si="27"/>
        <v>90</v>
      </c>
      <c r="AB99" s="197">
        <f t="shared" si="27"/>
        <v>90</v>
      </c>
      <c r="AC99" s="197">
        <f t="shared" si="27"/>
        <v>90</v>
      </c>
      <c r="AD99" s="197">
        <f t="shared" si="27"/>
        <v>90</v>
      </c>
      <c r="AE99" s="197">
        <f t="shared" si="27"/>
        <v>90</v>
      </c>
      <c r="AF99" s="197">
        <f t="shared" si="27"/>
        <v>90</v>
      </c>
      <c r="AG99" s="197">
        <f t="shared" si="27"/>
        <v>90</v>
      </c>
      <c r="AH99" s="197">
        <f t="shared" si="27"/>
        <v>90</v>
      </c>
      <c r="AI99" s="197">
        <f t="shared" si="27"/>
        <v>90</v>
      </c>
      <c r="AJ99" s="197">
        <f t="shared" si="27"/>
        <v>90</v>
      </c>
      <c r="AK99" s="197">
        <f t="shared" si="27"/>
        <v>90</v>
      </c>
      <c r="AL99" s="198">
        <f t="shared" si="27"/>
        <v>90</v>
      </c>
      <c r="AM99"/>
    </row>
    <row r="100" spans="2:38" s="416" customFormat="1" ht="12">
      <c r="B100" s="248" t="s">
        <v>238</v>
      </c>
      <c r="C100" s="262" t="s">
        <v>52</v>
      </c>
      <c r="D100" s="426"/>
      <c r="E100" s="395"/>
      <c r="F100" s="195"/>
      <c r="G100" s="195"/>
      <c r="H100" s="195"/>
      <c r="I100" s="205">
        <f aca="true" t="shared" si="28" ref="I100:AL100">I97*I99</f>
        <v>21286800</v>
      </c>
      <c r="J100" s="205">
        <f t="shared" si="28"/>
        <v>21286800</v>
      </c>
      <c r="K100" s="205">
        <f t="shared" si="28"/>
        <v>21286800</v>
      </c>
      <c r="L100" s="205">
        <f t="shared" si="28"/>
        <v>21286800</v>
      </c>
      <c r="M100" s="205">
        <f t="shared" si="28"/>
        <v>21286800</v>
      </c>
      <c r="N100" s="205">
        <f t="shared" si="28"/>
        <v>21286800</v>
      </c>
      <c r="O100" s="205">
        <f t="shared" si="28"/>
        <v>21286800</v>
      </c>
      <c r="P100" s="205">
        <f t="shared" si="28"/>
        <v>21286800</v>
      </c>
      <c r="Q100" s="205">
        <f t="shared" si="28"/>
        <v>21286800</v>
      </c>
      <c r="R100" s="205">
        <f t="shared" si="28"/>
        <v>21286800</v>
      </c>
      <c r="S100" s="205">
        <f t="shared" si="28"/>
        <v>21286800</v>
      </c>
      <c r="T100" s="205">
        <f t="shared" si="28"/>
        <v>21286800</v>
      </c>
      <c r="U100" s="205">
        <f t="shared" si="28"/>
        <v>21286800</v>
      </c>
      <c r="V100" s="205">
        <f t="shared" si="28"/>
        <v>21286800</v>
      </c>
      <c r="W100" s="205">
        <f t="shared" si="28"/>
        <v>21286800</v>
      </c>
      <c r="X100" s="205">
        <f t="shared" si="28"/>
        <v>21286800</v>
      </c>
      <c r="Y100" s="205">
        <f t="shared" si="28"/>
        <v>21286800</v>
      </c>
      <c r="Z100" s="205">
        <f t="shared" si="28"/>
        <v>21286800</v>
      </c>
      <c r="AA100" s="205">
        <f t="shared" si="28"/>
        <v>21286800</v>
      </c>
      <c r="AB100" s="205">
        <f t="shared" si="28"/>
        <v>21286800</v>
      </c>
      <c r="AC100" s="205">
        <f t="shared" si="28"/>
        <v>21286800</v>
      </c>
      <c r="AD100" s="205">
        <f t="shared" si="28"/>
        <v>21286800</v>
      </c>
      <c r="AE100" s="205">
        <f t="shared" si="28"/>
        <v>21286800</v>
      </c>
      <c r="AF100" s="205">
        <f t="shared" si="28"/>
        <v>21286800</v>
      </c>
      <c r="AG100" s="205">
        <f t="shared" si="28"/>
        <v>21286800</v>
      </c>
      <c r="AH100" s="205">
        <f t="shared" si="28"/>
        <v>21286800</v>
      </c>
      <c r="AI100" s="205">
        <f t="shared" si="28"/>
        <v>21286800</v>
      </c>
      <c r="AJ100" s="205">
        <f t="shared" si="28"/>
        <v>21286800</v>
      </c>
      <c r="AK100" s="205">
        <f t="shared" si="28"/>
        <v>21286800</v>
      </c>
      <c r="AL100" s="206">
        <f t="shared" si="28"/>
        <v>21286800</v>
      </c>
    </row>
    <row r="101" spans="2:38" s="416" customFormat="1" ht="12">
      <c r="B101" s="248" t="s">
        <v>1</v>
      </c>
      <c r="C101" s="262" t="s">
        <v>50</v>
      </c>
      <c r="D101" s="462">
        <f>D61</f>
        <v>8320000</v>
      </c>
      <c r="E101" s="395"/>
      <c r="F101" s="195"/>
      <c r="G101" s="195"/>
      <c r="H101" s="195"/>
      <c r="I101" s="205"/>
      <c r="J101" s="205"/>
      <c r="K101" s="205"/>
      <c r="L101" s="205"/>
      <c r="M101" s="205"/>
      <c r="N101" s="205"/>
      <c r="O101" s="205"/>
      <c r="P101" s="205"/>
      <c r="Q101" s="205"/>
      <c r="R101" s="205"/>
      <c r="S101" s="205"/>
      <c r="T101" s="205"/>
      <c r="U101" s="205"/>
      <c r="V101" s="205"/>
      <c r="W101" s="205"/>
      <c r="X101" s="205"/>
      <c r="Y101" s="205"/>
      <c r="Z101" s="205"/>
      <c r="AA101" s="205"/>
      <c r="AB101" s="205"/>
      <c r="AC101" s="205"/>
      <c r="AD101" s="205"/>
      <c r="AE101" s="205"/>
      <c r="AF101" s="205"/>
      <c r="AG101" s="205"/>
      <c r="AH101" s="205"/>
      <c r="AI101" s="205"/>
      <c r="AJ101" s="205"/>
      <c r="AK101" s="205"/>
      <c r="AL101" s="206">
        <f>AL61</f>
        <v>8320000</v>
      </c>
    </row>
    <row r="102" spans="2:38" s="15" customFormat="1" ht="12">
      <c r="B102" s="252" t="s">
        <v>261</v>
      </c>
      <c r="C102" s="264" t="s">
        <v>169</v>
      </c>
      <c r="D102" s="253"/>
      <c r="E102" s="430"/>
      <c r="F102" s="199"/>
      <c r="G102" s="199"/>
      <c r="H102" s="199"/>
      <c r="I102" s="200">
        <f>SUM(I100:I101)</f>
        <v>21286800</v>
      </c>
      <c r="J102" s="200">
        <f aca="true" t="shared" si="29" ref="J102:AL102">SUM(J100:J101)</f>
        <v>21286800</v>
      </c>
      <c r="K102" s="200">
        <f t="shared" si="29"/>
        <v>21286800</v>
      </c>
      <c r="L102" s="200">
        <f t="shared" si="29"/>
        <v>21286800</v>
      </c>
      <c r="M102" s="200">
        <f t="shared" si="29"/>
        <v>21286800</v>
      </c>
      <c r="N102" s="200">
        <f t="shared" si="29"/>
        <v>21286800</v>
      </c>
      <c r="O102" s="200">
        <f t="shared" si="29"/>
        <v>21286800</v>
      </c>
      <c r="P102" s="200">
        <f t="shared" si="29"/>
        <v>21286800</v>
      </c>
      <c r="Q102" s="200">
        <f t="shared" si="29"/>
        <v>21286800</v>
      </c>
      <c r="R102" s="200">
        <f t="shared" si="29"/>
        <v>21286800</v>
      </c>
      <c r="S102" s="200">
        <f t="shared" si="29"/>
        <v>21286800</v>
      </c>
      <c r="T102" s="200">
        <f t="shared" si="29"/>
        <v>21286800</v>
      </c>
      <c r="U102" s="200">
        <f t="shared" si="29"/>
        <v>21286800</v>
      </c>
      <c r="V102" s="200">
        <f t="shared" si="29"/>
        <v>21286800</v>
      </c>
      <c r="W102" s="200">
        <f t="shared" si="29"/>
        <v>21286800</v>
      </c>
      <c r="X102" s="200">
        <f t="shared" si="29"/>
        <v>21286800</v>
      </c>
      <c r="Y102" s="200">
        <f t="shared" si="29"/>
        <v>21286800</v>
      </c>
      <c r="Z102" s="200">
        <f t="shared" si="29"/>
        <v>21286800</v>
      </c>
      <c r="AA102" s="200">
        <f t="shared" si="29"/>
        <v>21286800</v>
      </c>
      <c r="AB102" s="200">
        <f t="shared" si="29"/>
        <v>21286800</v>
      </c>
      <c r="AC102" s="200">
        <f t="shared" si="29"/>
        <v>21286800</v>
      </c>
      <c r="AD102" s="200">
        <f t="shared" si="29"/>
        <v>21286800</v>
      </c>
      <c r="AE102" s="200">
        <f t="shared" si="29"/>
        <v>21286800</v>
      </c>
      <c r="AF102" s="200">
        <f t="shared" si="29"/>
        <v>21286800</v>
      </c>
      <c r="AG102" s="200">
        <f t="shared" si="29"/>
        <v>21286800</v>
      </c>
      <c r="AH102" s="200">
        <f t="shared" si="29"/>
        <v>21286800</v>
      </c>
      <c r="AI102" s="200">
        <f t="shared" si="29"/>
        <v>21286800</v>
      </c>
      <c r="AJ102" s="200">
        <f t="shared" si="29"/>
        <v>21286800</v>
      </c>
      <c r="AK102" s="200">
        <f t="shared" si="29"/>
        <v>21286800</v>
      </c>
      <c r="AL102" s="201">
        <f t="shared" si="29"/>
        <v>29606800</v>
      </c>
    </row>
    <row r="103" spans="9:39" ht="4.5" customHeight="1">
      <c r="I103" s="176"/>
      <c r="J103" s="176"/>
      <c r="K103" s="176"/>
      <c r="L103" s="176"/>
      <c r="M103" s="176"/>
      <c r="N103" s="176"/>
      <c r="O103" s="176"/>
      <c r="P103" s="176"/>
      <c r="Q103" s="176"/>
      <c r="R103" s="176"/>
      <c r="S103" s="176"/>
      <c r="T103" s="176"/>
      <c r="U103" s="176"/>
      <c r="V103" s="176"/>
      <c r="W103" s="176"/>
      <c r="X103" s="176"/>
      <c r="Y103" s="176"/>
      <c r="Z103" s="176"/>
      <c r="AA103" s="176"/>
      <c r="AB103" s="176"/>
      <c r="AC103" s="176"/>
      <c r="AD103" s="176"/>
      <c r="AE103" s="176"/>
      <c r="AF103" s="176"/>
      <c r="AG103" s="176"/>
      <c r="AH103" s="176"/>
      <c r="AI103" s="176"/>
      <c r="AJ103" s="176"/>
      <c r="AK103" s="176"/>
      <c r="AL103" s="176"/>
      <c r="AM103"/>
    </row>
    <row r="104" spans="2:39" ht="12">
      <c r="B104" s="244" t="s">
        <v>298</v>
      </c>
      <c r="C104" s="266" t="s">
        <v>147</v>
      </c>
      <c r="D104" s="245">
        <f>SUM(E104:H104)</f>
        <v>41040000</v>
      </c>
      <c r="E104" s="202">
        <f aca="true" t="shared" si="30" ref="E104:H107">E24*(1-$D$92)</f>
        <v>0</v>
      </c>
      <c r="F104" s="202">
        <f t="shared" si="30"/>
        <v>0</v>
      </c>
      <c r="G104" s="202">
        <f t="shared" si="30"/>
        <v>24624000</v>
      </c>
      <c r="H104" s="202">
        <f t="shared" si="30"/>
        <v>16416000</v>
      </c>
      <c r="I104" s="203"/>
      <c r="J104" s="203"/>
      <c r="K104" s="203"/>
      <c r="L104" s="203"/>
      <c r="M104" s="203"/>
      <c r="N104" s="203"/>
      <c r="O104" s="203"/>
      <c r="P104" s="203"/>
      <c r="Q104" s="203"/>
      <c r="R104" s="203"/>
      <c r="S104" s="203"/>
      <c r="T104" s="203"/>
      <c r="U104" s="203"/>
      <c r="V104" s="203"/>
      <c r="W104" s="203"/>
      <c r="X104" s="203"/>
      <c r="Y104" s="203"/>
      <c r="Z104" s="203"/>
      <c r="AA104" s="203"/>
      <c r="AB104" s="203"/>
      <c r="AC104" s="203"/>
      <c r="AD104" s="203"/>
      <c r="AE104" s="203"/>
      <c r="AF104" s="203"/>
      <c r="AG104" s="203"/>
      <c r="AH104" s="203"/>
      <c r="AI104" s="203"/>
      <c r="AJ104" s="203"/>
      <c r="AK104" s="203"/>
      <c r="AL104" s="204"/>
      <c r="AM104"/>
    </row>
    <row r="105" spans="2:39" ht="12">
      <c r="B105" s="250" t="s">
        <v>101</v>
      </c>
      <c r="C105" s="267" t="s">
        <v>50</v>
      </c>
      <c r="D105" s="251">
        <f>SUM(E105:H105)</f>
        <v>0</v>
      </c>
      <c r="E105" s="207">
        <f t="shared" si="30"/>
        <v>0</v>
      </c>
      <c r="F105" s="207">
        <f t="shared" si="30"/>
        <v>0</v>
      </c>
      <c r="G105" s="207">
        <f t="shared" si="30"/>
        <v>0</v>
      </c>
      <c r="H105" s="207">
        <f t="shared" si="30"/>
        <v>0</v>
      </c>
      <c r="I105" s="205"/>
      <c r="J105" s="205"/>
      <c r="K105" s="205"/>
      <c r="L105" s="205"/>
      <c r="M105" s="205"/>
      <c r="N105" s="205"/>
      <c r="O105" s="205"/>
      <c r="P105" s="205"/>
      <c r="Q105" s="205"/>
      <c r="R105" s="205"/>
      <c r="S105" s="205"/>
      <c r="T105" s="205"/>
      <c r="U105" s="205"/>
      <c r="V105" s="205"/>
      <c r="W105" s="205"/>
      <c r="X105" s="205"/>
      <c r="Y105" s="205"/>
      <c r="Z105" s="205"/>
      <c r="AA105" s="205"/>
      <c r="AB105" s="205"/>
      <c r="AC105" s="205"/>
      <c r="AD105" s="205"/>
      <c r="AE105" s="205"/>
      <c r="AF105" s="205"/>
      <c r="AG105" s="205"/>
      <c r="AH105" s="205"/>
      <c r="AI105" s="205"/>
      <c r="AJ105" s="205"/>
      <c r="AK105" s="205"/>
      <c r="AL105" s="206"/>
      <c r="AM105"/>
    </row>
    <row r="106" spans="2:39" ht="12">
      <c r="B106" s="250" t="s">
        <v>302</v>
      </c>
      <c r="C106" s="267" t="s">
        <v>50</v>
      </c>
      <c r="D106" s="251">
        <f>SUM(E106:H106)</f>
        <v>32940000</v>
      </c>
      <c r="E106" s="207">
        <f t="shared" si="30"/>
        <v>1440000</v>
      </c>
      <c r="F106" s="207">
        <f t="shared" si="30"/>
        <v>24300000</v>
      </c>
      <c r="G106" s="207">
        <f t="shared" si="30"/>
        <v>5040000</v>
      </c>
      <c r="H106" s="207">
        <f t="shared" si="30"/>
        <v>2160000</v>
      </c>
      <c r="I106" s="205"/>
      <c r="J106" s="205"/>
      <c r="K106" s="205"/>
      <c r="L106" s="205"/>
      <c r="M106" s="205"/>
      <c r="N106" s="205"/>
      <c r="O106" s="205"/>
      <c r="P106" s="205"/>
      <c r="Q106" s="205"/>
      <c r="R106" s="205"/>
      <c r="S106" s="205"/>
      <c r="T106" s="205"/>
      <c r="U106" s="205"/>
      <c r="V106" s="205"/>
      <c r="W106" s="205"/>
      <c r="X106" s="205"/>
      <c r="Y106" s="205"/>
      <c r="Z106" s="205"/>
      <c r="AA106" s="205"/>
      <c r="AB106" s="205"/>
      <c r="AC106" s="205"/>
      <c r="AD106" s="205"/>
      <c r="AE106" s="205"/>
      <c r="AF106" s="205"/>
      <c r="AG106" s="205"/>
      <c r="AH106" s="205"/>
      <c r="AI106" s="205"/>
      <c r="AJ106" s="205"/>
      <c r="AK106" s="205"/>
      <c r="AL106" s="206"/>
      <c r="AM106"/>
    </row>
    <row r="107" spans="2:39" ht="12">
      <c r="B107" s="250" t="s">
        <v>102</v>
      </c>
      <c r="C107" s="267" t="s">
        <v>50</v>
      </c>
      <c r="D107" s="251">
        <f>SUM(E107:H107)</f>
        <v>900000</v>
      </c>
      <c r="E107" s="207">
        <f t="shared" si="30"/>
        <v>0</v>
      </c>
      <c r="F107" s="207">
        <f t="shared" si="30"/>
        <v>495000</v>
      </c>
      <c r="G107" s="207">
        <f t="shared" si="30"/>
        <v>405000</v>
      </c>
      <c r="H107" s="207">
        <f t="shared" si="30"/>
        <v>0</v>
      </c>
      <c r="I107" s="205"/>
      <c r="J107" s="205"/>
      <c r="K107" s="205"/>
      <c r="L107" s="205"/>
      <c r="M107" s="205"/>
      <c r="N107" s="205"/>
      <c r="O107" s="205"/>
      <c r="P107" s="205"/>
      <c r="Q107" s="205"/>
      <c r="R107" s="205"/>
      <c r="S107" s="205"/>
      <c r="T107" s="205"/>
      <c r="U107" s="205"/>
      <c r="V107" s="205"/>
      <c r="W107" s="205"/>
      <c r="X107" s="205"/>
      <c r="Y107" s="205"/>
      <c r="Z107" s="205"/>
      <c r="AA107" s="205"/>
      <c r="AB107" s="205"/>
      <c r="AC107" s="205"/>
      <c r="AD107" s="205"/>
      <c r="AE107" s="205"/>
      <c r="AF107" s="205"/>
      <c r="AG107" s="205"/>
      <c r="AH107" s="205"/>
      <c r="AI107" s="205"/>
      <c r="AJ107" s="205"/>
      <c r="AK107" s="205"/>
      <c r="AL107" s="206"/>
      <c r="AM107"/>
    </row>
    <row r="108" spans="2:39" ht="12">
      <c r="B108" s="250" t="s">
        <v>303</v>
      </c>
      <c r="C108" s="267" t="s">
        <v>50</v>
      </c>
      <c r="D108" s="251">
        <f>SUM(D104:D107)</f>
        <v>74880000</v>
      </c>
      <c r="E108" s="207">
        <f>SUM(E104:E107)</f>
        <v>1440000</v>
      </c>
      <c r="F108" s="207">
        <f>SUM(F104:F107)</f>
        <v>24795000</v>
      </c>
      <c r="G108" s="207">
        <f>SUM(G104:G107)</f>
        <v>30069000</v>
      </c>
      <c r="H108" s="207">
        <f>SUM(H104:H107)</f>
        <v>18576000</v>
      </c>
      <c r="I108" s="205"/>
      <c r="J108" s="205"/>
      <c r="K108" s="205"/>
      <c r="L108" s="205"/>
      <c r="M108" s="205"/>
      <c r="N108" s="205"/>
      <c r="O108" s="205"/>
      <c r="P108" s="205"/>
      <c r="Q108" s="205"/>
      <c r="R108" s="205"/>
      <c r="S108" s="205"/>
      <c r="T108" s="205"/>
      <c r="U108" s="205"/>
      <c r="V108" s="205"/>
      <c r="W108" s="205"/>
      <c r="X108" s="205"/>
      <c r="Y108" s="205"/>
      <c r="Z108" s="205"/>
      <c r="AA108" s="205"/>
      <c r="AB108" s="205"/>
      <c r="AC108" s="205"/>
      <c r="AD108" s="205"/>
      <c r="AE108" s="205"/>
      <c r="AF108" s="205"/>
      <c r="AG108" s="205"/>
      <c r="AH108" s="205"/>
      <c r="AI108" s="205"/>
      <c r="AJ108" s="205"/>
      <c r="AK108" s="205"/>
      <c r="AL108" s="206"/>
      <c r="AM108"/>
    </row>
    <row r="109" spans="2:39" ht="12">
      <c r="B109" s="250"/>
      <c r="C109" s="267"/>
      <c r="D109" s="251"/>
      <c r="E109" s="432"/>
      <c r="F109" s="207"/>
      <c r="G109" s="207"/>
      <c r="H109" s="207"/>
      <c r="I109" s="205"/>
      <c r="J109" s="205"/>
      <c r="K109" s="205"/>
      <c r="L109" s="205"/>
      <c r="M109" s="205"/>
      <c r="N109" s="205"/>
      <c r="O109" s="205"/>
      <c r="P109" s="205"/>
      <c r="Q109" s="205"/>
      <c r="R109" s="205"/>
      <c r="S109" s="205"/>
      <c r="T109" s="205"/>
      <c r="U109" s="205"/>
      <c r="V109" s="205"/>
      <c r="W109" s="205"/>
      <c r="X109" s="205"/>
      <c r="Y109" s="205"/>
      <c r="Z109" s="205"/>
      <c r="AA109" s="205"/>
      <c r="AB109" s="205"/>
      <c r="AC109" s="205"/>
      <c r="AD109" s="205"/>
      <c r="AE109" s="205"/>
      <c r="AF109" s="205"/>
      <c r="AG109" s="205"/>
      <c r="AH109" s="205"/>
      <c r="AI109" s="205"/>
      <c r="AJ109" s="205"/>
      <c r="AK109" s="205"/>
      <c r="AL109" s="206"/>
      <c r="AM109"/>
    </row>
    <row r="110" spans="2:39" ht="12">
      <c r="B110" s="250" t="s">
        <v>30</v>
      </c>
      <c r="C110" s="267" t="s">
        <v>13</v>
      </c>
      <c r="D110" s="251">
        <f>Summary!E62</f>
        <v>2400000</v>
      </c>
      <c r="E110" s="432"/>
      <c r="F110" s="207"/>
      <c r="G110" s="207"/>
      <c r="H110" s="195"/>
      <c r="I110" s="205">
        <f>D110</f>
        <v>2400000</v>
      </c>
      <c r="J110" s="205">
        <f>I110</f>
        <v>2400000</v>
      </c>
      <c r="K110" s="205">
        <f aca="true" t="shared" si="31" ref="K110:AL110">J110</f>
        <v>2400000</v>
      </c>
      <c r="L110" s="205">
        <f t="shared" si="31"/>
        <v>2400000</v>
      </c>
      <c r="M110" s="205">
        <f t="shared" si="31"/>
        <v>2400000</v>
      </c>
      <c r="N110" s="205">
        <f t="shared" si="31"/>
        <v>2400000</v>
      </c>
      <c r="O110" s="205">
        <f t="shared" si="31"/>
        <v>2400000</v>
      </c>
      <c r="P110" s="205">
        <f t="shared" si="31"/>
        <v>2400000</v>
      </c>
      <c r="Q110" s="205">
        <f t="shared" si="31"/>
        <v>2400000</v>
      </c>
      <c r="R110" s="205">
        <f t="shared" si="31"/>
        <v>2400000</v>
      </c>
      <c r="S110" s="205">
        <f t="shared" si="31"/>
        <v>2400000</v>
      </c>
      <c r="T110" s="205">
        <f t="shared" si="31"/>
        <v>2400000</v>
      </c>
      <c r="U110" s="205">
        <f t="shared" si="31"/>
        <v>2400000</v>
      </c>
      <c r="V110" s="205">
        <f t="shared" si="31"/>
        <v>2400000</v>
      </c>
      <c r="W110" s="205">
        <f t="shared" si="31"/>
        <v>2400000</v>
      </c>
      <c r="X110" s="205">
        <f t="shared" si="31"/>
        <v>2400000</v>
      </c>
      <c r="Y110" s="205">
        <f t="shared" si="31"/>
        <v>2400000</v>
      </c>
      <c r="Z110" s="205">
        <f t="shared" si="31"/>
        <v>2400000</v>
      </c>
      <c r="AA110" s="205">
        <f t="shared" si="31"/>
        <v>2400000</v>
      </c>
      <c r="AB110" s="205">
        <f t="shared" si="31"/>
        <v>2400000</v>
      </c>
      <c r="AC110" s="205">
        <f t="shared" si="31"/>
        <v>2400000</v>
      </c>
      <c r="AD110" s="205">
        <f t="shared" si="31"/>
        <v>2400000</v>
      </c>
      <c r="AE110" s="205">
        <f t="shared" si="31"/>
        <v>2400000</v>
      </c>
      <c r="AF110" s="205">
        <f t="shared" si="31"/>
        <v>2400000</v>
      </c>
      <c r="AG110" s="205">
        <f t="shared" si="31"/>
        <v>2400000</v>
      </c>
      <c r="AH110" s="205">
        <f t="shared" si="31"/>
        <v>2400000</v>
      </c>
      <c r="AI110" s="205">
        <f t="shared" si="31"/>
        <v>2400000</v>
      </c>
      <c r="AJ110" s="205">
        <f t="shared" si="31"/>
        <v>2400000</v>
      </c>
      <c r="AK110" s="205">
        <f t="shared" si="31"/>
        <v>2400000</v>
      </c>
      <c r="AL110" s="206">
        <f t="shared" si="31"/>
        <v>2400000</v>
      </c>
      <c r="AM110"/>
    </row>
    <row r="111" spans="2:39" ht="12">
      <c r="B111" s="194"/>
      <c r="C111" s="261"/>
      <c r="D111" s="195"/>
      <c r="E111" s="395"/>
      <c r="F111" s="195"/>
      <c r="G111" s="195"/>
      <c r="H111" s="195"/>
      <c r="I111" s="205"/>
      <c r="J111" s="205"/>
      <c r="K111" s="205"/>
      <c r="L111" s="205"/>
      <c r="M111" s="205"/>
      <c r="N111" s="205"/>
      <c r="O111" s="205"/>
      <c r="P111" s="205"/>
      <c r="Q111" s="205"/>
      <c r="R111" s="205"/>
      <c r="S111" s="205"/>
      <c r="T111" s="205"/>
      <c r="U111" s="205"/>
      <c r="V111" s="205"/>
      <c r="W111" s="205"/>
      <c r="X111" s="205"/>
      <c r="Y111" s="205"/>
      <c r="Z111" s="205"/>
      <c r="AA111" s="205"/>
      <c r="AB111" s="205"/>
      <c r="AC111" s="205"/>
      <c r="AD111" s="205"/>
      <c r="AE111" s="205"/>
      <c r="AF111" s="205"/>
      <c r="AG111" s="205"/>
      <c r="AH111" s="205"/>
      <c r="AI111" s="205"/>
      <c r="AJ111" s="205"/>
      <c r="AK111" s="205"/>
      <c r="AL111" s="206"/>
      <c r="AM111"/>
    </row>
    <row r="112" spans="2:39" ht="12">
      <c r="B112" s="250" t="s">
        <v>54</v>
      </c>
      <c r="C112" s="267" t="s">
        <v>50</v>
      </c>
      <c r="D112" s="251"/>
      <c r="E112" s="432"/>
      <c r="F112" s="195"/>
      <c r="G112" s="195"/>
      <c r="H112" s="195"/>
      <c r="I112" s="205">
        <f>I72</f>
        <v>0</v>
      </c>
      <c r="J112" s="205">
        <f aca="true" t="shared" si="32" ref="J112:AL112">J72</f>
        <v>0</v>
      </c>
      <c r="K112" s="205">
        <f t="shared" si="32"/>
        <v>0</v>
      </c>
      <c r="L112" s="205">
        <f t="shared" si="32"/>
        <v>0</v>
      </c>
      <c r="M112" s="205">
        <f t="shared" si="32"/>
        <v>0</v>
      </c>
      <c r="N112" s="205">
        <f t="shared" si="32"/>
        <v>0</v>
      </c>
      <c r="O112" s="205">
        <f t="shared" si="32"/>
        <v>13930000</v>
      </c>
      <c r="P112" s="205">
        <f t="shared" si="32"/>
        <v>0</v>
      </c>
      <c r="Q112" s="205">
        <f t="shared" si="32"/>
        <v>0</v>
      </c>
      <c r="R112" s="205">
        <f t="shared" si="32"/>
        <v>0</v>
      </c>
      <c r="S112" s="205">
        <f t="shared" si="32"/>
        <v>0</v>
      </c>
      <c r="T112" s="205">
        <f t="shared" si="32"/>
        <v>0</v>
      </c>
      <c r="U112" s="205">
        <f t="shared" si="32"/>
        <v>0</v>
      </c>
      <c r="V112" s="205">
        <f t="shared" si="32"/>
        <v>0</v>
      </c>
      <c r="W112" s="205">
        <f t="shared" si="32"/>
        <v>0</v>
      </c>
      <c r="X112" s="205">
        <f t="shared" si="32"/>
        <v>0</v>
      </c>
      <c r="Y112" s="205">
        <f t="shared" si="32"/>
        <v>0</v>
      </c>
      <c r="Z112" s="205">
        <f t="shared" si="32"/>
        <v>0</v>
      </c>
      <c r="AA112" s="205">
        <f t="shared" si="32"/>
        <v>0</v>
      </c>
      <c r="AB112" s="205">
        <f t="shared" si="32"/>
        <v>0</v>
      </c>
      <c r="AC112" s="205">
        <f t="shared" si="32"/>
        <v>0</v>
      </c>
      <c r="AD112" s="205">
        <f t="shared" si="32"/>
        <v>0</v>
      </c>
      <c r="AE112" s="205">
        <f t="shared" si="32"/>
        <v>0</v>
      </c>
      <c r="AF112" s="205">
        <f t="shared" si="32"/>
        <v>0</v>
      </c>
      <c r="AG112" s="205">
        <f t="shared" si="32"/>
        <v>0</v>
      </c>
      <c r="AH112" s="205">
        <f t="shared" si="32"/>
        <v>0</v>
      </c>
      <c r="AI112" s="205">
        <f t="shared" si="32"/>
        <v>0</v>
      </c>
      <c r="AJ112" s="205">
        <f t="shared" si="32"/>
        <v>0</v>
      </c>
      <c r="AK112" s="205">
        <f t="shared" si="32"/>
        <v>0</v>
      </c>
      <c r="AL112" s="206">
        <f t="shared" si="32"/>
        <v>0</v>
      </c>
      <c r="AM112"/>
    </row>
    <row r="113" spans="2:38" s="15" customFormat="1" ht="12">
      <c r="B113" s="254" t="s">
        <v>82</v>
      </c>
      <c r="C113" s="268" t="s">
        <v>50</v>
      </c>
      <c r="D113" s="255"/>
      <c r="E113" s="200">
        <f>SUM(E108:E112)</f>
        <v>1440000</v>
      </c>
      <c r="F113" s="200">
        <f>SUM(F108:F112)</f>
        <v>24795000</v>
      </c>
      <c r="G113" s="200">
        <f>SUM(G108:G112)</f>
        <v>30069000</v>
      </c>
      <c r="H113" s="200">
        <f>SUM(H108:H112)</f>
        <v>18576000</v>
      </c>
      <c r="I113" s="200">
        <f>SUM(I104:I112)</f>
        <v>2400000</v>
      </c>
      <c r="J113" s="200">
        <f>SUM(J104:J112)</f>
        <v>2400000</v>
      </c>
      <c r="K113" s="200">
        <f>SUM(K104:K112)</f>
        <v>2400000</v>
      </c>
      <c r="L113" s="200">
        <f>SUM(L104:L112)</f>
        <v>2400000</v>
      </c>
      <c r="M113" s="200">
        <f aca="true" t="shared" si="33" ref="M113:AL113">SUM(M104:M112)</f>
        <v>2400000</v>
      </c>
      <c r="N113" s="200">
        <f t="shared" si="33"/>
        <v>2400000</v>
      </c>
      <c r="O113" s="200">
        <f t="shared" si="33"/>
        <v>16330000</v>
      </c>
      <c r="P113" s="200">
        <f t="shared" si="33"/>
        <v>2400000</v>
      </c>
      <c r="Q113" s="200">
        <f t="shared" si="33"/>
        <v>2400000</v>
      </c>
      <c r="R113" s="200">
        <f t="shared" si="33"/>
        <v>2400000</v>
      </c>
      <c r="S113" s="200">
        <f t="shared" si="33"/>
        <v>2400000</v>
      </c>
      <c r="T113" s="200">
        <f t="shared" si="33"/>
        <v>2400000</v>
      </c>
      <c r="U113" s="200">
        <f t="shared" si="33"/>
        <v>2400000</v>
      </c>
      <c r="V113" s="200">
        <f t="shared" si="33"/>
        <v>2400000</v>
      </c>
      <c r="W113" s="200">
        <f t="shared" si="33"/>
        <v>2400000</v>
      </c>
      <c r="X113" s="200">
        <f t="shared" si="33"/>
        <v>2400000</v>
      </c>
      <c r="Y113" s="200">
        <f t="shared" si="33"/>
        <v>2400000</v>
      </c>
      <c r="Z113" s="200">
        <f t="shared" si="33"/>
        <v>2400000</v>
      </c>
      <c r="AA113" s="200">
        <f t="shared" si="33"/>
        <v>2400000</v>
      </c>
      <c r="AB113" s="200">
        <f t="shared" si="33"/>
        <v>2400000</v>
      </c>
      <c r="AC113" s="200">
        <f t="shared" si="33"/>
        <v>2400000</v>
      </c>
      <c r="AD113" s="200">
        <f t="shared" si="33"/>
        <v>2400000</v>
      </c>
      <c r="AE113" s="200">
        <f t="shared" si="33"/>
        <v>2400000</v>
      </c>
      <c r="AF113" s="200">
        <f t="shared" si="33"/>
        <v>2400000</v>
      </c>
      <c r="AG113" s="200">
        <f t="shared" si="33"/>
        <v>2400000</v>
      </c>
      <c r="AH113" s="200">
        <f t="shared" si="33"/>
        <v>2400000</v>
      </c>
      <c r="AI113" s="200">
        <f t="shared" si="33"/>
        <v>2400000</v>
      </c>
      <c r="AJ113" s="200">
        <f t="shared" si="33"/>
        <v>2400000</v>
      </c>
      <c r="AK113" s="200">
        <f t="shared" si="33"/>
        <v>2400000</v>
      </c>
      <c r="AL113" s="201">
        <f t="shared" si="33"/>
        <v>2400000</v>
      </c>
    </row>
    <row r="114" spans="5:39" ht="3.75" customHeight="1">
      <c r="E114" s="174"/>
      <c r="I114" s="176"/>
      <c r="J114" s="176"/>
      <c r="K114" s="176"/>
      <c r="L114" s="176"/>
      <c r="M114" s="176"/>
      <c r="N114" s="176"/>
      <c r="O114" s="176"/>
      <c r="P114" s="176"/>
      <c r="Q114" s="176"/>
      <c r="R114" s="176"/>
      <c r="S114" s="176"/>
      <c r="T114" s="176"/>
      <c r="U114" s="176"/>
      <c r="V114" s="176"/>
      <c r="W114" s="176"/>
      <c r="X114" s="176"/>
      <c r="Y114" s="176"/>
      <c r="Z114" s="176"/>
      <c r="AA114" s="176"/>
      <c r="AB114" s="176"/>
      <c r="AC114" s="176"/>
      <c r="AD114" s="176"/>
      <c r="AE114" s="176"/>
      <c r="AF114" s="176"/>
      <c r="AG114" s="176"/>
      <c r="AH114" s="176"/>
      <c r="AI114" s="176"/>
      <c r="AJ114" s="176"/>
      <c r="AK114" s="176"/>
      <c r="AL114" s="176"/>
      <c r="AM114"/>
    </row>
    <row r="115" spans="2:39" ht="12">
      <c r="B115" s="174" t="s">
        <v>231</v>
      </c>
      <c r="C115" s="258" t="s">
        <v>50</v>
      </c>
      <c r="E115" s="175">
        <f>E102-E113</f>
        <v>-1440000</v>
      </c>
      <c r="F115" s="175">
        <f>F102-F113</f>
        <v>-24795000</v>
      </c>
      <c r="G115" s="175">
        <f>G102-G113</f>
        <v>-30069000</v>
      </c>
      <c r="H115" s="175">
        <f>H102-H113</f>
        <v>-18576000</v>
      </c>
      <c r="I115" s="175">
        <f>I102-I113</f>
        <v>18886800</v>
      </c>
      <c r="J115" s="175">
        <f aca="true" t="shared" si="34" ref="J115:AL115">J102-J113</f>
        <v>18886800</v>
      </c>
      <c r="K115" s="175">
        <f t="shared" si="34"/>
        <v>18886800</v>
      </c>
      <c r="L115" s="175">
        <f t="shared" si="34"/>
        <v>18886800</v>
      </c>
      <c r="M115" s="175">
        <f t="shared" si="34"/>
        <v>18886800</v>
      </c>
      <c r="N115" s="175">
        <f t="shared" si="34"/>
        <v>18886800</v>
      </c>
      <c r="O115" s="175">
        <f t="shared" si="34"/>
        <v>4956800</v>
      </c>
      <c r="P115" s="175">
        <f t="shared" si="34"/>
        <v>18886800</v>
      </c>
      <c r="Q115" s="175">
        <f t="shared" si="34"/>
        <v>18886800</v>
      </c>
      <c r="R115" s="175">
        <f t="shared" si="34"/>
        <v>18886800</v>
      </c>
      <c r="S115" s="175">
        <f t="shared" si="34"/>
        <v>18886800</v>
      </c>
      <c r="T115" s="175">
        <f t="shared" si="34"/>
        <v>18886800</v>
      </c>
      <c r="U115" s="175">
        <f t="shared" si="34"/>
        <v>18886800</v>
      </c>
      <c r="V115" s="175">
        <f t="shared" si="34"/>
        <v>18886800</v>
      </c>
      <c r="W115" s="175">
        <f t="shared" si="34"/>
        <v>18886800</v>
      </c>
      <c r="X115" s="175">
        <f t="shared" si="34"/>
        <v>18886800</v>
      </c>
      <c r="Y115" s="175">
        <f t="shared" si="34"/>
        <v>18886800</v>
      </c>
      <c r="Z115" s="175">
        <f t="shared" si="34"/>
        <v>18886800</v>
      </c>
      <c r="AA115" s="175">
        <f t="shared" si="34"/>
        <v>18886800</v>
      </c>
      <c r="AB115" s="175">
        <f t="shared" si="34"/>
        <v>18886800</v>
      </c>
      <c r="AC115" s="175">
        <f t="shared" si="34"/>
        <v>18886800</v>
      </c>
      <c r="AD115" s="175">
        <f t="shared" si="34"/>
        <v>18886800</v>
      </c>
      <c r="AE115" s="175">
        <f t="shared" si="34"/>
        <v>18886800</v>
      </c>
      <c r="AF115" s="175">
        <f t="shared" si="34"/>
        <v>18886800</v>
      </c>
      <c r="AG115" s="175">
        <f t="shared" si="34"/>
        <v>18886800</v>
      </c>
      <c r="AH115" s="175">
        <f t="shared" si="34"/>
        <v>18886800</v>
      </c>
      <c r="AI115" s="175">
        <f t="shared" si="34"/>
        <v>18886800</v>
      </c>
      <c r="AJ115" s="175">
        <f t="shared" si="34"/>
        <v>18886800</v>
      </c>
      <c r="AK115" s="175">
        <f t="shared" si="34"/>
        <v>18886800</v>
      </c>
      <c r="AL115" s="175">
        <f t="shared" si="34"/>
        <v>27206800</v>
      </c>
      <c r="AM115"/>
    </row>
    <row r="116" spans="9:39" ht="3.75" customHeight="1">
      <c r="I116" s="176"/>
      <c r="J116" s="176"/>
      <c r="K116" s="176"/>
      <c r="L116" s="176"/>
      <c r="M116" s="176"/>
      <c r="N116" s="176"/>
      <c r="O116" s="176"/>
      <c r="P116" s="176"/>
      <c r="Q116" s="176"/>
      <c r="R116" s="176"/>
      <c r="S116" s="176"/>
      <c r="T116" s="176"/>
      <c r="U116" s="176"/>
      <c r="V116" s="176"/>
      <c r="W116" s="176"/>
      <c r="X116" s="176"/>
      <c r="Y116" s="176"/>
      <c r="Z116" s="176"/>
      <c r="AA116" s="176"/>
      <c r="AB116" s="176"/>
      <c r="AC116" s="176"/>
      <c r="AD116" s="176"/>
      <c r="AE116" s="176"/>
      <c r="AF116" s="176"/>
      <c r="AG116" s="176"/>
      <c r="AH116" s="176"/>
      <c r="AI116" s="176"/>
      <c r="AJ116" s="176"/>
      <c r="AK116" s="176"/>
      <c r="AL116" s="176"/>
      <c r="AM116"/>
    </row>
    <row r="117" spans="2:39" ht="12">
      <c r="B117" s="229" t="s">
        <v>193</v>
      </c>
      <c r="C117" s="269" t="s">
        <v>141</v>
      </c>
      <c r="D117" s="230">
        <f>Summary!E64</f>
        <v>0</v>
      </c>
      <c r="E117" s="433"/>
      <c r="F117" s="191"/>
      <c r="G117" s="191"/>
      <c r="H117" s="191"/>
      <c r="I117" s="203">
        <f>$D$37*I110</f>
        <v>0</v>
      </c>
      <c r="J117" s="203">
        <f aca="true" t="shared" si="35" ref="J117:AL117">$D$37*J110</f>
        <v>0</v>
      </c>
      <c r="K117" s="203">
        <f t="shared" si="35"/>
        <v>0</v>
      </c>
      <c r="L117" s="203">
        <f t="shared" si="35"/>
        <v>0</v>
      </c>
      <c r="M117" s="203">
        <f t="shared" si="35"/>
        <v>0</v>
      </c>
      <c r="N117" s="203">
        <f t="shared" si="35"/>
        <v>0</v>
      </c>
      <c r="O117" s="203">
        <f t="shared" si="35"/>
        <v>0</v>
      </c>
      <c r="P117" s="203">
        <f t="shared" si="35"/>
        <v>0</v>
      </c>
      <c r="Q117" s="203">
        <f t="shared" si="35"/>
        <v>0</v>
      </c>
      <c r="R117" s="203">
        <f t="shared" si="35"/>
        <v>0</v>
      </c>
      <c r="S117" s="203">
        <f t="shared" si="35"/>
        <v>0</v>
      </c>
      <c r="T117" s="203">
        <f t="shared" si="35"/>
        <v>0</v>
      </c>
      <c r="U117" s="203">
        <f t="shared" si="35"/>
        <v>0</v>
      </c>
      <c r="V117" s="203">
        <f t="shared" si="35"/>
        <v>0</v>
      </c>
      <c r="W117" s="203">
        <f t="shared" si="35"/>
        <v>0</v>
      </c>
      <c r="X117" s="203">
        <f t="shared" si="35"/>
        <v>0</v>
      </c>
      <c r="Y117" s="203">
        <f t="shared" si="35"/>
        <v>0</v>
      </c>
      <c r="Z117" s="203">
        <f t="shared" si="35"/>
        <v>0</v>
      </c>
      <c r="AA117" s="203">
        <f t="shared" si="35"/>
        <v>0</v>
      </c>
      <c r="AB117" s="203">
        <f t="shared" si="35"/>
        <v>0</v>
      </c>
      <c r="AC117" s="203">
        <f t="shared" si="35"/>
        <v>0</v>
      </c>
      <c r="AD117" s="203">
        <f t="shared" si="35"/>
        <v>0</v>
      </c>
      <c r="AE117" s="203">
        <f t="shared" si="35"/>
        <v>0</v>
      </c>
      <c r="AF117" s="203">
        <f t="shared" si="35"/>
        <v>0</v>
      </c>
      <c r="AG117" s="203">
        <f t="shared" si="35"/>
        <v>0</v>
      </c>
      <c r="AH117" s="203">
        <f t="shared" si="35"/>
        <v>0</v>
      </c>
      <c r="AI117" s="203">
        <f t="shared" si="35"/>
        <v>0</v>
      </c>
      <c r="AJ117" s="203">
        <f t="shared" si="35"/>
        <v>0</v>
      </c>
      <c r="AK117" s="203">
        <f t="shared" si="35"/>
        <v>0</v>
      </c>
      <c r="AL117" s="204">
        <f t="shared" si="35"/>
        <v>0</v>
      </c>
      <c r="AM117"/>
    </row>
    <row r="118" spans="2:39" ht="12">
      <c r="B118" s="228"/>
      <c r="C118" s="263"/>
      <c r="D118" s="380"/>
      <c r="E118" s="434"/>
      <c r="F118" s="195"/>
      <c r="G118" s="195"/>
      <c r="H118" s="195"/>
      <c r="I118" s="205"/>
      <c r="J118" s="205"/>
      <c r="K118" s="205"/>
      <c r="L118" s="205"/>
      <c r="M118" s="205"/>
      <c r="N118" s="205"/>
      <c r="O118" s="205"/>
      <c r="P118" s="205"/>
      <c r="Q118" s="205"/>
      <c r="R118" s="205"/>
      <c r="S118" s="205"/>
      <c r="T118" s="205"/>
      <c r="U118" s="205"/>
      <c r="V118" s="205"/>
      <c r="W118" s="205"/>
      <c r="X118" s="205"/>
      <c r="Y118" s="205"/>
      <c r="Z118" s="205"/>
      <c r="AA118" s="205"/>
      <c r="AB118" s="205"/>
      <c r="AC118" s="205"/>
      <c r="AD118" s="205"/>
      <c r="AE118" s="205"/>
      <c r="AF118" s="205"/>
      <c r="AG118" s="205"/>
      <c r="AH118" s="205"/>
      <c r="AI118" s="205"/>
      <c r="AJ118" s="205"/>
      <c r="AK118" s="205"/>
      <c r="AL118" s="206"/>
      <c r="AM118"/>
    </row>
    <row r="119" spans="2:39" ht="12">
      <c r="B119" s="194" t="str">
        <f>B79</f>
        <v>Total depreciation for upstream and downstream</v>
      </c>
      <c r="C119" s="261" t="s">
        <v>274</v>
      </c>
      <c r="D119" s="205"/>
      <c r="E119" s="394"/>
      <c r="F119" s="195"/>
      <c r="G119" s="195"/>
      <c r="H119" s="195"/>
      <c r="I119" s="208">
        <f aca="true" t="shared" si="36" ref="I119:AL119">I39*(1-$D$92)</f>
        <v>5346000</v>
      </c>
      <c r="J119" s="208">
        <f t="shared" si="36"/>
        <v>5346000</v>
      </c>
      <c r="K119" s="208">
        <f t="shared" si="36"/>
        <v>5346000</v>
      </c>
      <c r="L119" s="208">
        <f t="shared" si="36"/>
        <v>5346000</v>
      </c>
      <c r="M119" s="208">
        <f t="shared" si="36"/>
        <v>5346000</v>
      </c>
      <c r="N119" s="208">
        <f t="shared" si="36"/>
        <v>5346000</v>
      </c>
      <c r="O119" s="208">
        <f t="shared" si="36"/>
        <v>5346000</v>
      </c>
      <c r="P119" s="208">
        <f t="shared" si="36"/>
        <v>6599700</v>
      </c>
      <c r="Q119" s="208">
        <f t="shared" si="36"/>
        <v>6599700</v>
      </c>
      <c r="R119" s="208">
        <f t="shared" si="36"/>
        <v>6599700</v>
      </c>
      <c r="S119" s="208">
        <f t="shared" si="36"/>
        <v>3305700</v>
      </c>
      <c r="T119" s="208">
        <f t="shared" si="36"/>
        <v>3305700</v>
      </c>
      <c r="U119" s="208">
        <f t="shared" si="36"/>
        <v>3305700</v>
      </c>
      <c r="V119" s="208">
        <f t="shared" si="36"/>
        <v>3305700</v>
      </c>
      <c r="W119" s="208">
        <f t="shared" si="36"/>
        <v>3305700</v>
      </c>
      <c r="X119" s="208">
        <f t="shared" si="36"/>
        <v>3305700</v>
      </c>
      <c r="Y119" s="208">
        <f t="shared" si="36"/>
        <v>3305700</v>
      </c>
      <c r="Z119" s="208">
        <f t="shared" si="36"/>
        <v>2052000</v>
      </c>
      <c r="AA119" s="208">
        <f t="shared" si="36"/>
        <v>2052000</v>
      </c>
      <c r="AB119" s="208">
        <f t="shared" si="36"/>
        <v>2052000</v>
      </c>
      <c r="AC119" s="208">
        <f t="shared" si="36"/>
        <v>0</v>
      </c>
      <c r="AD119" s="208">
        <f t="shared" si="36"/>
        <v>0</v>
      </c>
      <c r="AE119" s="208">
        <f t="shared" si="36"/>
        <v>0</v>
      </c>
      <c r="AF119" s="208">
        <f t="shared" si="36"/>
        <v>0</v>
      </c>
      <c r="AG119" s="208">
        <f t="shared" si="36"/>
        <v>0</v>
      </c>
      <c r="AH119" s="208">
        <f t="shared" si="36"/>
        <v>0</v>
      </c>
      <c r="AI119" s="208">
        <f t="shared" si="36"/>
        <v>0</v>
      </c>
      <c r="AJ119" s="208">
        <f t="shared" si="36"/>
        <v>0</v>
      </c>
      <c r="AK119" s="208">
        <f t="shared" si="36"/>
        <v>0</v>
      </c>
      <c r="AL119" s="383">
        <f t="shared" si="36"/>
        <v>0</v>
      </c>
      <c r="AM119"/>
    </row>
    <row r="120" spans="2:38" s="28" customFormat="1" ht="12">
      <c r="B120" s="231" t="s">
        <v>287</v>
      </c>
      <c r="C120" s="270" t="s">
        <v>112</v>
      </c>
      <c r="D120" s="232"/>
      <c r="E120" s="435"/>
      <c r="F120" s="232"/>
      <c r="G120" s="232"/>
      <c r="H120" s="232"/>
      <c r="I120" s="233">
        <f aca="true" t="shared" si="37" ref="I120:AL120">I115-I119</f>
        <v>13540800</v>
      </c>
      <c r="J120" s="233">
        <f t="shared" si="37"/>
        <v>13540800</v>
      </c>
      <c r="K120" s="233">
        <f t="shared" si="37"/>
        <v>13540800</v>
      </c>
      <c r="L120" s="233">
        <f t="shared" si="37"/>
        <v>13540800</v>
      </c>
      <c r="M120" s="233">
        <f t="shared" si="37"/>
        <v>13540800</v>
      </c>
      <c r="N120" s="233">
        <f t="shared" si="37"/>
        <v>13540800</v>
      </c>
      <c r="O120" s="233">
        <f t="shared" si="37"/>
        <v>-389200</v>
      </c>
      <c r="P120" s="233">
        <f t="shared" si="37"/>
        <v>12287100</v>
      </c>
      <c r="Q120" s="233">
        <f t="shared" si="37"/>
        <v>12287100</v>
      </c>
      <c r="R120" s="233">
        <f t="shared" si="37"/>
        <v>12287100</v>
      </c>
      <c r="S120" s="233">
        <f t="shared" si="37"/>
        <v>15581100</v>
      </c>
      <c r="T120" s="233">
        <f t="shared" si="37"/>
        <v>15581100</v>
      </c>
      <c r="U120" s="233">
        <f t="shared" si="37"/>
        <v>15581100</v>
      </c>
      <c r="V120" s="233">
        <f t="shared" si="37"/>
        <v>15581100</v>
      </c>
      <c r="W120" s="233">
        <f t="shared" si="37"/>
        <v>15581100</v>
      </c>
      <c r="X120" s="233">
        <f t="shared" si="37"/>
        <v>15581100</v>
      </c>
      <c r="Y120" s="233">
        <f t="shared" si="37"/>
        <v>15581100</v>
      </c>
      <c r="Z120" s="233">
        <f t="shared" si="37"/>
        <v>16834800</v>
      </c>
      <c r="AA120" s="233">
        <f t="shared" si="37"/>
        <v>16834800</v>
      </c>
      <c r="AB120" s="233">
        <f t="shared" si="37"/>
        <v>16834800</v>
      </c>
      <c r="AC120" s="233">
        <f t="shared" si="37"/>
        <v>18886800</v>
      </c>
      <c r="AD120" s="233">
        <f t="shared" si="37"/>
        <v>18886800</v>
      </c>
      <c r="AE120" s="233">
        <f t="shared" si="37"/>
        <v>18886800</v>
      </c>
      <c r="AF120" s="233">
        <f t="shared" si="37"/>
        <v>18886800</v>
      </c>
      <c r="AG120" s="233">
        <f t="shared" si="37"/>
        <v>18886800</v>
      </c>
      <c r="AH120" s="233">
        <f t="shared" si="37"/>
        <v>18886800</v>
      </c>
      <c r="AI120" s="233">
        <f t="shared" si="37"/>
        <v>18886800</v>
      </c>
      <c r="AJ120" s="233">
        <f t="shared" si="37"/>
        <v>18886800</v>
      </c>
      <c r="AK120" s="233">
        <f t="shared" si="37"/>
        <v>18886800</v>
      </c>
      <c r="AL120" s="398">
        <f t="shared" si="37"/>
        <v>27206800</v>
      </c>
    </row>
    <row r="121" spans="2:39" ht="12">
      <c r="B121" s="256" t="s">
        <v>118</v>
      </c>
      <c r="C121" s="271" t="s">
        <v>110</v>
      </c>
      <c r="D121" s="257">
        <f>Summary!E50</f>
        <v>0.34</v>
      </c>
      <c r="E121" s="436"/>
      <c r="F121" s="209"/>
      <c r="G121" s="209"/>
      <c r="H121" s="209"/>
      <c r="I121" s="210">
        <f>H120*$D$41</f>
        <v>0</v>
      </c>
      <c r="J121" s="210">
        <f>I120*$D$41</f>
        <v>4603872</v>
      </c>
      <c r="K121" s="210">
        <f aca="true" t="shared" si="38" ref="K121:AL121">J120*$D$41</f>
        <v>4603872</v>
      </c>
      <c r="L121" s="210">
        <f t="shared" si="38"/>
        <v>4603872</v>
      </c>
      <c r="M121" s="210">
        <f t="shared" si="38"/>
        <v>4603872</v>
      </c>
      <c r="N121" s="210">
        <f t="shared" si="38"/>
        <v>4603872</v>
      </c>
      <c r="O121" s="210">
        <f t="shared" si="38"/>
        <v>4603872</v>
      </c>
      <c r="P121" s="210">
        <f t="shared" si="38"/>
        <v>-132328</v>
      </c>
      <c r="Q121" s="210">
        <f t="shared" si="38"/>
        <v>4177614.0000000005</v>
      </c>
      <c r="R121" s="210">
        <f t="shared" si="38"/>
        <v>4177614.0000000005</v>
      </c>
      <c r="S121" s="210">
        <f t="shared" si="38"/>
        <v>4177614.0000000005</v>
      </c>
      <c r="T121" s="210">
        <f t="shared" si="38"/>
        <v>5297574</v>
      </c>
      <c r="U121" s="210">
        <f t="shared" si="38"/>
        <v>5297574</v>
      </c>
      <c r="V121" s="210">
        <f t="shared" si="38"/>
        <v>5297574</v>
      </c>
      <c r="W121" s="210">
        <f t="shared" si="38"/>
        <v>5297574</v>
      </c>
      <c r="X121" s="210">
        <f t="shared" si="38"/>
        <v>5297574</v>
      </c>
      <c r="Y121" s="210">
        <f t="shared" si="38"/>
        <v>5297574</v>
      </c>
      <c r="Z121" s="210">
        <f t="shared" si="38"/>
        <v>5297574</v>
      </c>
      <c r="AA121" s="210">
        <f t="shared" si="38"/>
        <v>5723832</v>
      </c>
      <c r="AB121" s="210">
        <f t="shared" si="38"/>
        <v>5723832</v>
      </c>
      <c r="AC121" s="210">
        <f t="shared" si="38"/>
        <v>5723832</v>
      </c>
      <c r="AD121" s="210">
        <f t="shared" si="38"/>
        <v>6421512</v>
      </c>
      <c r="AE121" s="210">
        <f t="shared" si="38"/>
        <v>6421512</v>
      </c>
      <c r="AF121" s="210">
        <f t="shared" si="38"/>
        <v>6421512</v>
      </c>
      <c r="AG121" s="210">
        <f t="shared" si="38"/>
        <v>6421512</v>
      </c>
      <c r="AH121" s="210">
        <f t="shared" si="38"/>
        <v>6421512</v>
      </c>
      <c r="AI121" s="210">
        <f t="shared" si="38"/>
        <v>6421512</v>
      </c>
      <c r="AJ121" s="210">
        <f t="shared" si="38"/>
        <v>6421512</v>
      </c>
      <c r="AK121" s="210">
        <f t="shared" si="38"/>
        <v>6421512</v>
      </c>
      <c r="AL121" s="333">
        <f t="shared" si="38"/>
        <v>6421512</v>
      </c>
      <c r="AM121"/>
    </row>
    <row r="122" spans="10:39" ht="4.5" customHeight="1">
      <c r="J122" s="176"/>
      <c r="K122" s="176"/>
      <c r="L122" s="176"/>
      <c r="M122" s="176"/>
      <c r="N122" s="176"/>
      <c r="O122" s="176"/>
      <c r="P122" s="176"/>
      <c r="Q122" s="176"/>
      <c r="R122" s="176"/>
      <c r="S122" s="176"/>
      <c r="T122" s="176"/>
      <c r="U122" s="176"/>
      <c r="V122" s="176"/>
      <c r="W122" s="176"/>
      <c r="X122" s="176"/>
      <c r="Y122" s="176"/>
      <c r="Z122" s="176"/>
      <c r="AA122" s="176"/>
      <c r="AB122" s="176"/>
      <c r="AC122" s="176"/>
      <c r="AD122" s="176"/>
      <c r="AE122" s="176"/>
      <c r="AF122" s="176"/>
      <c r="AG122" s="176"/>
      <c r="AH122" s="176"/>
      <c r="AI122" s="176"/>
      <c r="AJ122" s="176"/>
      <c r="AK122" s="176"/>
      <c r="AL122" s="176"/>
      <c r="AM122"/>
    </row>
    <row r="123" spans="2:38" s="15" customFormat="1" ht="12">
      <c r="B123" s="177" t="s">
        <v>9</v>
      </c>
      <c r="C123" s="272" t="s">
        <v>50</v>
      </c>
      <c r="D123" s="177"/>
      <c r="E123" s="178">
        <f aca="true" t="shared" si="39" ref="E123:AL123">E115-E117-E121</f>
        <v>-1440000</v>
      </c>
      <c r="F123" s="178">
        <f t="shared" si="39"/>
        <v>-24795000</v>
      </c>
      <c r="G123" s="178">
        <f t="shared" si="39"/>
        <v>-30069000</v>
      </c>
      <c r="H123" s="178">
        <f t="shared" si="39"/>
        <v>-18576000</v>
      </c>
      <c r="I123" s="178">
        <f t="shared" si="39"/>
        <v>18886800</v>
      </c>
      <c r="J123" s="179">
        <f t="shared" si="39"/>
        <v>14282928</v>
      </c>
      <c r="K123" s="179">
        <f t="shared" si="39"/>
        <v>14282928</v>
      </c>
      <c r="L123" s="179">
        <f t="shared" si="39"/>
        <v>14282928</v>
      </c>
      <c r="M123" s="179">
        <f t="shared" si="39"/>
        <v>14282928</v>
      </c>
      <c r="N123" s="179">
        <f t="shared" si="39"/>
        <v>14282928</v>
      </c>
      <c r="O123" s="179">
        <f t="shared" si="39"/>
        <v>352928</v>
      </c>
      <c r="P123" s="179">
        <f t="shared" si="39"/>
        <v>19019128</v>
      </c>
      <c r="Q123" s="179">
        <f t="shared" si="39"/>
        <v>14709186</v>
      </c>
      <c r="R123" s="179">
        <f t="shared" si="39"/>
        <v>14709186</v>
      </c>
      <c r="S123" s="179">
        <f t="shared" si="39"/>
        <v>14709186</v>
      </c>
      <c r="T123" s="179">
        <f t="shared" si="39"/>
        <v>13589226</v>
      </c>
      <c r="U123" s="179">
        <f t="shared" si="39"/>
        <v>13589226</v>
      </c>
      <c r="V123" s="179">
        <f t="shared" si="39"/>
        <v>13589226</v>
      </c>
      <c r="W123" s="179">
        <f t="shared" si="39"/>
        <v>13589226</v>
      </c>
      <c r="X123" s="179">
        <f t="shared" si="39"/>
        <v>13589226</v>
      </c>
      <c r="Y123" s="179">
        <f t="shared" si="39"/>
        <v>13589226</v>
      </c>
      <c r="Z123" s="179">
        <f t="shared" si="39"/>
        <v>13589226</v>
      </c>
      <c r="AA123" s="179">
        <f t="shared" si="39"/>
        <v>13162968</v>
      </c>
      <c r="AB123" s="179">
        <f t="shared" si="39"/>
        <v>13162968</v>
      </c>
      <c r="AC123" s="179">
        <f t="shared" si="39"/>
        <v>13162968</v>
      </c>
      <c r="AD123" s="179">
        <f t="shared" si="39"/>
        <v>12465288</v>
      </c>
      <c r="AE123" s="179">
        <f t="shared" si="39"/>
        <v>12465288</v>
      </c>
      <c r="AF123" s="179">
        <f t="shared" si="39"/>
        <v>12465288</v>
      </c>
      <c r="AG123" s="179">
        <f t="shared" si="39"/>
        <v>12465288</v>
      </c>
      <c r="AH123" s="179">
        <f t="shared" si="39"/>
        <v>12465288</v>
      </c>
      <c r="AI123" s="179">
        <f t="shared" si="39"/>
        <v>12465288</v>
      </c>
      <c r="AJ123" s="179">
        <f t="shared" si="39"/>
        <v>12465288</v>
      </c>
      <c r="AK123" s="179">
        <f t="shared" si="39"/>
        <v>12465288</v>
      </c>
      <c r="AL123" s="179">
        <f t="shared" si="39"/>
        <v>20785288</v>
      </c>
    </row>
    <row r="124" ht="4.5" customHeight="1"/>
    <row r="125" ht="12.75" thickBot="1"/>
    <row r="126" spans="2:8" ht="12.75" thickBot="1">
      <c r="B126" s="308" t="s">
        <v>8</v>
      </c>
      <c r="C126" s="309"/>
      <c r="D126" s="310">
        <f>IRR(E123:AL123,0.1)</f>
        <v>0.15821766897160572</v>
      </c>
      <c r="E126" s="241" t="s">
        <v>27</v>
      </c>
      <c r="G126" s="189"/>
      <c r="H126" s="189"/>
    </row>
    <row r="127" spans="2:8" ht="12">
      <c r="B127" s="240"/>
      <c r="C127" s="265"/>
      <c r="D127" s="304"/>
      <c r="E127" s="437"/>
      <c r="F127" s="241"/>
      <c r="G127" s="189"/>
      <c r="H127" s="189"/>
    </row>
    <row r="128" spans="2:39" s="303" customFormat="1" ht="3.75" customHeight="1" thickBot="1">
      <c r="B128" s="301"/>
      <c r="C128" s="302"/>
      <c r="D128" s="301"/>
      <c r="E128" s="301"/>
      <c r="F128" s="301"/>
      <c r="G128" s="301"/>
      <c r="H128" s="301"/>
      <c r="I128" s="301"/>
      <c r="J128" s="301"/>
      <c r="K128" s="301"/>
      <c r="L128" s="301"/>
      <c r="M128" s="301"/>
      <c r="N128" s="301"/>
      <c r="O128" s="301"/>
      <c r="P128" s="301"/>
      <c r="Q128" s="301"/>
      <c r="R128" s="301"/>
      <c r="S128" s="301"/>
      <c r="T128" s="301"/>
      <c r="U128" s="301"/>
      <c r="V128" s="301"/>
      <c r="W128" s="301"/>
      <c r="X128" s="301"/>
      <c r="Y128" s="301"/>
      <c r="Z128" s="301"/>
      <c r="AA128" s="301"/>
      <c r="AB128" s="301"/>
      <c r="AC128" s="301"/>
      <c r="AD128" s="301"/>
      <c r="AE128" s="301"/>
      <c r="AF128" s="301"/>
      <c r="AG128" s="301"/>
      <c r="AH128" s="301"/>
      <c r="AI128" s="301"/>
      <c r="AJ128" s="301"/>
      <c r="AK128" s="301"/>
      <c r="AL128" s="301"/>
      <c r="AM128" s="301"/>
    </row>
    <row r="131" ht="12">
      <c r="B131" s="239" t="s">
        <v>28</v>
      </c>
    </row>
    <row r="132" spans="2:4" ht="12">
      <c r="B132" s="242" t="s">
        <v>29</v>
      </c>
      <c r="C132" s="274"/>
      <c r="D132" s="243">
        <f>Summary!K41</f>
        <v>0.1</v>
      </c>
    </row>
    <row r="133" spans="2:6" ht="4.5" customHeight="1">
      <c r="B133"/>
      <c r="C133" s="273"/>
      <c r="D133"/>
      <c r="E133" s="9"/>
      <c r="F133"/>
    </row>
    <row r="134" ht="12">
      <c r="AM134"/>
    </row>
    <row r="135" spans="2:38" s="238" customFormat="1" ht="12">
      <c r="B135" s="384" t="s">
        <v>139</v>
      </c>
      <c r="C135" s="385"/>
      <c r="D135" s="386"/>
      <c r="E135" s="413">
        <v>-3</v>
      </c>
      <c r="F135" s="386">
        <v>-2</v>
      </c>
      <c r="G135" s="386">
        <v>-1</v>
      </c>
      <c r="H135" s="386">
        <v>0</v>
      </c>
      <c r="I135" s="386">
        <v>1</v>
      </c>
      <c r="J135" s="386">
        <v>2</v>
      </c>
      <c r="K135" s="386">
        <v>3</v>
      </c>
      <c r="L135" s="386">
        <v>4</v>
      </c>
      <c r="M135" s="386">
        <v>5</v>
      </c>
      <c r="N135" s="386">
        <v>6</v>
      </c>
      <c r="O135" s="386">
        <v>7</v>
      </c>
      <c r="P135" s="386">
        <v>8</v>
      </c>
      <c r="Q135" s="386">
        <v>9</v>
      </c>
      <c r="R135" s="386">
        <v>10</v>
      </c>
      <c r="S135" s="386">
        <v>11</v>
      </c>
      <c r="T135" s="386">
        <v>12</v>
      </c>
      <c r="U135" s="386">
        <v>13</v>
      </c>
      <c r="V135" s="386">
        <v>14</v>
      </c>
      <c r="W135" s="386">
        <v>15</v>
      </c>
      <c r="X135" s="386">
        <v>16</v>
      </c>
      <c r="Y135" s="386">
        <v>17</v>
      </c>
      <c r="Z135" s="386">
        <v>18</v>
      </c>
      <c r="AA135" s="386">
        <v>19</v>
      </c>
      <c r="AB135" s="386">
        <v>20</v>
      </c>
      <c r="AC135" s="386">
        <v>21</v>
      </c>
      <c r="AD135" s="386">
        <v>22</v>
      </c>
      <c r="AE135" s="386">
        <v>23</v>
      </c>
      <c r="AF135" s="386">
        <v>24</v>
      </c>
      <c r="AG135" s="386">
        <v>25</v>
      </c>
      <c r="AH135" s="386">
        <v>26</v>
      </c>
      <c r="AI135" s="386">
        <v>27</v>
      </c>
      <c r="AJ135" s="386">
        <v>28</v>
      </c>
      <c r="AK135" s="386">
        <v>29</v>
      </c>
      <c r="AL135" s="387">
        <v>30</v>
      </c>
    </row>
    <row r="136" spans="2:39" ht="3.75" customHeight="1">
      <c r="B136" s="388"/>
      <c r="C136" s="389"/>
      <c r="D136" s="209"/>
      <c r="E136" s="414"/>
      <c r="F136" s="209"/>
      <c r="G136" s="209"/>
      <c r="H136" s="209"/>
      <c r="I136" s="209"/>
      <c r="J136" s="209"/>
      <c r="K136" s="209"/>
      <c r="L136" s="209"/>
      <c r="M136" s="209"/>
      <c r="N136" s="209"/>
      <c r="O136" s="209"/>
      <c r="P136" s="209"/>
      <c r="Q136" s="209"/>
      <c r="R136" s="209"/>
      <c r="S136" s="209"/>
      <c r="T136" s="209"/>
      <c r="U136" s="209"/>
      <c r="V136" s="209"/>
      <c r="W136" s="209"/>
      <c r="X136" s="209"/>
      <c r="Y136" s="209"/>
      <c r="Z136" s="209"/>
      <c r="AA136" s="209"/>
      <c r="AB136" s="209"/>
      <c r="AC136" s="209"/>
      <c r="AD136" s="209"/>
      <c r="AE136" s="209"/>
      <c r="AF136" s="209"/>
      <c r="AG136" s="209"/>
      <c r="AH136" s="209"/>
      <c r="AI136" s="209"/>
      <c r="AJ136" s="209"/>
      <c r="AK136" s="209"/>
      <c r="AL136" s="390"/>
      <c r="AM136"/>
    </row>
    <row r="137" spans="2:39" ht="12">
      <c r="B137" s="246" t="s">
        <v>234</v>
      </c>
      <c r="C137" s="260" t="s">
        <v>104</v>
      </c>
      <c r="D137" s="247">
        <f>Summary!E49</f>
        <v>236520</v>
      </c>
      <c r="E137" s="429"/>
      <c r="F137" s="192"/>
      <c r="G137" s="192"/>
      <c r="H137" s="191"/>
      <c r="I137" s="192">
        <f>D137</f>
        <v>236520</v>
      </c>
      <c r="J137" s="192">
        <f aca="true" t="shared" si="40" ref="J137:AL137">I137</f>
        <v>236520</v>
      </c>
      <c r="K137" s="192">
        <f t="shared" si="40"/>
        <v>236520</v>
      </c>
      <c r="L137" s="192">
        <f t="shared" si="40"/>
        <v>236520</v>
      </c>
      <c r="M137" s="192">
        <f t="shared" si="40"/>
        <v>236520</v>
      </c>
      <c r="N137" s="192">
        <f t="shared" si="40"/>
        <v>236520</v>
      </c>
      <c r="O137" s="192">
        <f t="shared" si="40"/>
        <v>236520</v>
      </c>
      <c r="P137" s="192">
        <f t="shared" si="40"/>
        <v>236520</v>
      </c>
      <c r="Q137" s="192">
        <f t="shared" si="40"/>
        <v>236520</v>
      </c>
      <c r="R137" s="192">
        <f t="shared" si="40"/>
        <v>236520</v>
      </c>
      <c r="S137" s="192">
        <f t="shared" si="40"/>
        <v>236520</v>
      </c>
      <c r="T137" s="192">
        <f t="shared" si="40"/>
        <v>236520</v>
      </c>
      <c r="U137" s="192">
        <f t="shared" si="40"/>
        <v>236520</v>
      </c>
      <c r="V137" s="192">
        <f t="shared" si="40"/>
        <v>236520</v>
      </c>
      <c r="W137" s="192">
        <f t="shared" si="40"/>
        <v>236520</v>
      </c>
      <c r="X137" s="192">
        <f t="shared" si="40"/>
        <v>236520</v>
      </c>
      <c r="Y137" s="192">
        <f t="shared" si="40"/>
        <v>236520</v>
      </c>
      <c r="Z137" s="192">
        <f t="shared" si="40"/>
        <v>236520</v>
      </c>
      <c r="AA137" s="192">
        <f t="shared" si="40"/>
        <v>236520</v>
      </c>
      <c r="AB137" s="192">
        <f t="shared" si="40"/>
        <v>236520</v>
      </c>
      <c r="AC137" s="192">
        <f t="shared" si="40"/>
        <v>236520</v>
      </c>
      <c r="AD137" s="192">
        <f t="shared" si="40"/>
        <v>236520</v>
      </c>
      <c r="AE137" s="192">
        <f t="shared" si="40"/>
        <v>236520</v>
      </c>
      <c r="AF137" s="192">
        <f t="shared" si="40"/>
        <v>236520</v>
      </c>
      <c r="AG137" s="192">
        <f t="shared" si="40"/>
        <v>236520</v>
      </c>
      <c r="AH137" s="192">
        <f t="shared" si="40"/>
        <v>236520</v>
      </c>
      <c r="AI137" s="192">
        <f t="shared" si="40"/>
        <v>236520</v>
      </c>
      <c r="AJ137" s="192">
        <f t="shared" si="40"/>
        <v>236520</v>
      </c>
      <c r="AK137" s="192">
        <f t="shared" si="40"/>
        <v>236520</v>
      </c>
      <c r="AL137" s="193">
        <f t="shared" si="40"/>
        <v>236520</v>
      </c>
      <c r="AM137"/>
    </row>
    <row r="138" spans="2:39" ht="12">
      <c r="B138" s="194"/>
      <c r="C138" s="261"/>
      <c r="D138" s="195"/>
      <c r="E138" s="395"/>
      <c r="F138" s="195"/>
      <c r="G138" s="195"/>
      <c r="H138" s="195"/>
      <c r="I138" s="195"/>
      <c r="J138" s="195"/>
      <c r="K138" s="195"/>
      <c r="L138" s="195"/>
      <c r="M138" s="195"/>
      <c r="N138" s="195"/>
      <c r="O138" s="195"/>
      <c r="P138" s="195"/>
      <c r="Q138" s="195"/>
      <c r="R138" s="195"/>
      <c r="S138" s="195"/>
      <c r="T138" s="195"/>
      <c r="U138" s="195"/>
      <c r="V138" s="195"/>
      <c r="W138" s="195"/>
      <c r="X138" s="195"/>
      <c r="Y138" s="195"/>
      <c r="Z138" s="195"/>
      <c r="AA138" s="195"/>
      <c r="AB138" s="195"/>
      <c r="AC138" s="195"/>
      <c r="AD138" s="195"/>
      <c r="AE138" s="195"/>
      <c r="AF138" s="195"/>
      <c r="AG138" s="195"/>
      <c r="AH138" s="195"/>
      <c r="AI138" s="195"/>
      <c r="AJ138" s="195"/>
      <c r="AK138" s="195"/>
      <c r="AL138" s="196"/>
      <c r="AM138"/>
    </row>
    <row r="139" spans="2:39" ht="12">
      <c r="B139" s="248" t="s">
        <v>279</v>
      </c>
      <c r="C139" s="262" t="s">
        <v>105</v>
      </c>
      <c r="D139" s="249">
        <f>Summary!E48</f>
        <v>90</v>
      </c>
      <c r="E139" s="415"/>
      <c r="F139" s="197"/>
      <c r="G139" s="197"/>
      <c r="H139" s="195"/>
      <c r="I139" s="197">
        <f>D139</f>
        <v>90</v>
      </c>
      <c r="J139" s="197">
        <f>I139</f>
        <v>90</v>
      </c>
      <c r="K139" s="197">
        <f aca="true" t="shared" si="41" ref="K139:AL139">J139</f>
        <v>90</v>
      </c>
      <c r="L139" s="197">
        <f t="shared" si="41"/>
        <v>90</v>
      </c>
      <c r="M139" s="197">
        <f t="shared" si="41"/>
        <v>90</v>
      </c>
      <c r="N139" s="197">
        <f t="shared" si="41"/>
        <v>90</v>
      </c>
      <c r="O139" s="197">
        <f t="shared" si="41"/>
        <v>90</v>
      </c>
      <c r="P139" s="197">
        <f t="shared" si="41"/>
        <v>90</v>
      </c>
      <c r="Q139" s="197">
        <f t="shared" si="41"/>
        <v>90</v>
      </c>
      <c r="R139" s="197">
        <f t="shared" si="41"/>
        <v>90</v>
      </c>
      <c r="S139" s="197">
        <f t="shared" si="41"/>
        <v>90</v>
      </c>
      <c r="T139" s="197">
        <f t="shared" si="41"/>
        <v>90</v>
      </c>
      <c r="U139" s="197">
        <f t="shared" si="41"/>
        <v>90</v>
      </c>
      <c r="V139" s="197">
        <f t="shared" si="41"/>
        <v>90</v>
      </c>
      <c r="W139" s="197">
        <f t="shared" si="41"/>
        <v>90</v>
      </c>
      <c r="X139" s="197">
        <f t="shared" si="41"/>
        <v>90</v>
      </c>
      <c r="Y139" s="197">
        <f t="shared" si="41"/>
        <v>90</v>
      </c>
      <c r="Z139" s="197">
        <f t="shared" si="41"/>
        <v>90</v>
      </c>
      <c r="AA139" s="197">
        <f t="shared" si="41"/>
        <v>90</v>
      </c>
      <c r="AB139" s="197">
        <f t="shared" si="41"/>
        <v>90</v>
      </c>
      <c r="AC139" s="197">
        <f t="shared" si="41"/>
        <v>90</v>
      </c>
      <c r="AD139" s="197">
        <f t="shared" si="41"/>
        <v>90</v>
      </c>
      <c r="AE139" s="197">
        <f t="shared" si="41"/>
        <v>90</v>
      </c>
      <c r="AF139" s="197">
        <f t="shared" si="41"/>
        <v>90</v>
      </c>
      <c r="AG139" s="197">
        <f t="shared" si="41"/>
        <v>90</v>
      </c>
      <c r="AH139" s="197">
        <f t="shared" si="41"/>
        <v>90</v>
      </c>
      <c r="AI139" s="197">
        <f t="shared" si="41"/>
        <v>90</v>
      </c>
      <c r="AJ139" s="197">
        <f t="shared" si="41"/>
        <v>90</v>
      </c>
      <c r="AK139" s="197">
        <f t="shared" si="41"/>
        <v>90</v>
      </c>
      <c r="AL139" s="198">
        <f t="shared" si="41"/>
        <v>90</v>
      </c>
      <c r="AM139"/>
    </row>
    <row r="140" spans="2:38" s="416" customFormat="1" ht="12">
      <c r="B140" s="248" t="s">
        <v>238</v>
      </c>
      <c r="C140" s="262" t="s">
        <v>52</v>
      </c>
      <c r="D140" s="426"/>
      <c r="E140" s="395"/>
      <c r="F140" s="195"/>
      <c r="G140" s="195"/>
      <c r="H140" s="195"/>
      <c r="I140" s="205">
        <f aca="true" t="shared" si="42" ref="I140:AL140">I137*I139</f>
        <v>21286800</v>
      </c>
      <c r="J140" s="205">
        <f t="shared" si="42"/>
        <v>21286800</v>
      </c>
      <c r="K140" s="205">
        <f t="shared" si="42"/>
        <v>21286800</v>
      </c>
      <c r="L140" s="205">
        <f t="shared" si="42"/>
        <v>21286800</v>
      </c>
      <c r="M140" s="205">
        <f t="shared" si="42"/>
        <v>21286800</v>
      </c>
      <c r="N140" s="205">
        <f t="shared" si="42"/>
        <v>21286800</v>
      </c>
      <c r="O140" s="205">
        <f t="shared" si="42"/>
        <v>21286800</v>
      </c>
      <c r="P140" s="205">
        <f t="shared" si="42"/>
        <v>21286800</v>
      </c>
      <c r="Q140" s="205">
        <f t="shared" si="42"/>
        <v>21286800</v>
      </c>
      <c r="R140" s="205">
        <f t="shared" si="42"/>
        <v>21286800</v>
      </c>
      <c r="S140" s="205">
        <f t="shared" si="42"/>
        <v>21286800</v>
      </c>
      <c r="T140" s="205">
        <f t="shared" si="42"/>
        <v>21286800</v>
      </c>
      <c r="U140" s="205">
        <f t="shared" si="42"/>
        <v>21286800</v>
      </c>
      <c r="V140" s="205">
        <f t="shared" si="42"/>
        <v>21286800</v>
      </c>
      <c r="W140" s="205">
        <f t="shared" si="42"/>
        <v>21286800</v>
      </c>
      <c r="X140" s="205">
        <f t="shared" si="42"/>
        <v>21286800</v>
      </c>
      <c r="Y140" s="205">
        <f t="shared" si="42"/>
        <v>21286800</v>
      </c>
      <c r="Z140" s="205">
        <f t="shared" si="42"/>
        <v>21286800</v>
      </c>
      <c r="AA140" s="205">
        <f t="shared" si="42"/>
        <v>21286800</v>
      </c>
      <c r="AB140" s="205">
        <f t="shared" si="42"/>
        <v>21286800</v>
      </c>
      <c r="AC140" s="205">
        <f t="shared" si="42"/>
        <v>21286800</v>
      </c>
      <c r="AD140" s="205">
        <f t="shared" si="42"/>
        <v>21286800</v>
      </c>
      <c r="AE140" s="205">
        <f t="shared" si="42"/>
        <v>21286800</v>
      </c>
      <c r="AF140" s="205">
        <f t="shared" si="42"/>
        <v>21286800</v>
      </c>
      <c r="AG140" s="205">
        <f t="shared" si="42"/>
        <v>21286800</v>
      </c>
      <c r="AH140" s="205">
        <f t="shared" si="42"/>
        <v>21286800</v>
      </c>
      <c r="AI140" s="205">
        <f t="shared" si="42"/>
        <v>21286800</v>
      </c>
      <c r="AJ140" s="205">
        <f t="shared" si="42"/>
        <v>21286800</v>
      </c>
      <c r="AK140" s="205">
        <f t="shared" si="42"/>
        <v>21286800</v>
      </c>
      <c r="AL140" s="206">
        <f t="shared" si="42"/>
        <v>21286800</v>
      </c>
    </row>
    <row r="141" spans="2:38" s="416" customFormat="1" ht="12">
      <c r="B141" s="248" t="s">
        <v>1</v>
      </c>
      <c r="C141" s="262" t="s">
        <v>50</v>
      </c>
      <c r="D141" s="462">
        <f>D101</f>
        <v>8320000</v>
      </c>
      <c r="E141" s="395"/>
      <c r="F141" s="195"/>
      <c r="G141" s="195"/>
      <c r="H141" s="195"/>
      <c r="I141" s="205"/>
      <c r="J141" s="205"/>
      <c r="K141" s="205"/>
      <c r="L141" s="205"/>
      <c r="M141" s="205"/>
      <c r="N141" s="205"/>
      <c r="O141" s="205"/>
      <c r="P141" s="205"/>
      <c r="Q141" s="205"/>
      <c r="R141" s="205"/>
      <c r="S141" s="205"/>
      <c r="T141" s="205"/>
      <c r="U141" s="205"/>
      <c r="V141" s="205"/>
      <c r="W141" s="205"/>
      <c r="X141" s="205"/>
      <c r="Y141" s="205"/>
      <c r="Z141" s="205"/>
      <c r="AA141" s="205"/>
      <c r="AB141" s="205"/>
      <c r="AC141" s="205"/>
      <c r="AD141" s="205"/>
      <c r="AE141" s="205"/>
      <c r="AF141" s="205"/>
      <c r="AG141" s="205"/>
      <c r="AH141" s="205"/>
      <c r="AI141" s="205"/>
      <c r="AJ141" s="205"/>
      <c r="AK141" s="205"/>
      <c r="AL141" s="206">
        <f>AL101</f>
        <v>8320000</v>
      </c>
    </row>
    <row r="142" spans="2:38" s="15" customFormat="1" ht="12">
      <c r="B142" s="252" t="s">
        <v>262</v>
      </c>
      <c r="C142" s="264" t="s">
        <v>50</v>
      </c>
      <c r="D142" s="253"/>
      <c r="E142" s="430"/>
      <c r="F142" s="199"/>
      <c r="G142" s="199"/>
      <c r="H142" s="199"/>
      <c r="I142" s="200">
        <f>SUM(I140:I141)</f>
        <v>21286800</v>
      </c>
      <c r="J142" s="200">
        <f aca="true" t="shared" si="43" ref="J142:AL142">SUM(J140:J141)</f>
        <v>21286800</v>
      </c>
      <c r="K142" s="200">
        <f t="shared" si="43"/>
        <v>21286800</v>
      </c>
      <c r="L142" s="200">
        <f t="shared" si="43"/>
        <v>21286800</v>
      </c>
      <c r="M142" s="200">
        <f t="shared" si="43"/>
        <v>21286800</v>
      </c>
      <c r="N142" s="200">
        <f t="shared" si="43"/>
        <v>21286800</v>
      </c>
      <c r="O142" s="200">
        <f t="shared" si="43"/>
        <v>21286800</v>
      </c>
      <c r="P142" s="200">
        <f t="shared" si="43"/>
        <v>21286800</v>
      </c>
      <c r="Q142" s="200">
        <f t="shared" si="43"/>
        <v>21286800</v>
      </c>
      <c r="R142" s="200">
        <f t="shared" si="43"/>
        <v>21286800</v>
      </c>
      <c r="S142" s="200">
        <f t="shared" si="43"/>
        <v>21286800</v>
      </c>
      <c r="T142" s="200">
        <f t="shared" si="43"/>
        <v>21286800</v>
      </c>
      <c r="U142" s="200">
        <f t="shared" si="43"/>
        <v>21286800</v>
      </c>
      <c r="V142" s="200">
        <f t="shared" si="43"/>
        <v>21286800</v>
      </c>
      <c r="W142" s="200">
        <f t="shared" si="43"/>
        <v>21286800</v>
      </c>
      <c r="X142" s="200">
        <f t="shared" si="43"/>
        <v>21286800</v>
      </c>
      <c r="Y142" s="200">
        <f t="shared" si="43"/>
        <v>21286800</v>
      </c>
      <c r="Z142" s="200">
        <f t="shared" si="43"/>
        <v>21286800</v>
      </c>
      <c r="AA142" s="200">
        <f t="shared" si="43"/>
        <v>21286800</v>
      </c>
      <c r="AB142" s="200">
        <f t="shared" si="43"/>
        <v>21286800</v>
      </c>
      <c r="AC142" s="200">
        <f t="shared" si="43"/>
        <v>21286800</v>
      </c>
      <c r="AD142" s="200">
        <f t="shared" si="43"/>
        <v>21286800</v>
      </c>
      <c r="AE142" s="200">
        <f t="shared" si="43"/>
        <v>21286800</v>
      </c>
      <c r="AF142" s="200">
        <f t="shared" si="43"/>
        <v>21286800</v>
      </c>
      <c r="AG142" s="200">
        <f t="shared" si="43"/>
        <v>21286800</v>
      </c>
      <c r="AH142" s="200">
        <f t="shared" si="43"/>
        <v>21286800</v>
      </c>
      <c r="AI142" s="200">
        <f t="shared" si="43"/>
        <v>21286800</v>
      </c>
      <c r="AJ142" s="200">
        <f t="shared" si="43"/>
        <v>21286800</v>
      </c>
      <c r="AK142" s="200">
        <f t="shared" si="43"/>
        <v>21286800</v>
      </c>
      <c r="AL142" s="201">
        <f t="shared" si="43"/>
        <v>29606800</v>
      </c>
    </row>
    <row r="143" spans="9:39" ht="3.75" customHeight="1">
      <c r="I143" s="176"/>
      <c r="J143" s="176"/>
      <c r="K143" s="176"/>
      <c r="L143" s="176"/>
      <c r="M143" s="176"/>
      <c r="N143" s="176"/>
      <c r="O143" s="176"/>
      <c r="P143" s="176"/>
      <c r="Q143" s="176"/>
      <c r="R143" s="176"/>
      <c r="S143" s="176"/>
      <c r="T143" s="176"/>
      <c r="U143" s="176"/>
      <c r="V143" s="176"/>
      <c r="W143" s="176"/>
      <c r="X143" s="176"/>
      <c r="Y143" s="176"/>
      <c r="Z143" s="176"/>
      <c r="AA143" s="176"/>
      <c r="AB143" s="176"/>
      <c r="AC143" s="176"/>
      <c r="AD143" s="176"/>
      <c r="AE143" s="176"/>
      <c r="AF143" s="176"/>
      <c r="AG143" s="176"/>
      <c r="AH143" s="176"/>
      <c r="AI143" s="176"/>
      <c r="AJ143" s="176"/>
      <c r="AK143" s="176"/>
      <c r="AL143" s="176"/>
      <c r="AM143"/>
    </row>
    <row r="144" spans="2:39" ht="12">
      <c r="B144" s="244" t="s">
        <v>298</v>
      </c>
      <c r="C144" s="266" t="s">
        <v>147</v>
      </c>
      <c r="D144" s="245">
        <f>SUM(E144:H144)</f>
        <v>45600000</v>
      </c>
      <c r="E144" s="202">
        <f aca="true" t="shared" si="44" ref="E144:H147">E24</f>
        <v>0</v>
      </c>
      <c r="F144" s="202">
        <f t="shared" si="44"/>
        <v>0</v>
      </c>
      <c r="G144" s="202">
        <f t="shared" si="44"/>
        <v>27360000</v>
      </c>
      <c r="H144" s="202">
        <f t="shared" si="44"/>
        <v>18240000</v>
      </c>
      <c r="I144" s="203"/>
      <c r="J144" s="203"/>
      <c r="K144" s="203"/>
      <c r="L144" s="203"/>
      <c r="M144" s="203"/>
      <c r="N144" s="203"/>
      <c r="O144" s="203"/>
      <c r="P144" s="203"/>
      <c r="Q144" s="203"/>
      <c r="R144" s="203"/>
      <c r="S144" s="203"/>
      <c r="T144" s="203"/>
      <c r="U144" s="203"/>
      <c r="V144" s="203"/>
      <c r="W144" s="203"/>
      <c r="X144" s="203"/>
      <c r="Y144" s="203"/>
      <c r="Z144" s="203"/>
      <c r="AA144" s="203"/>
      <c r="AB144" s="203"/>
      <c r="AC144" s="203"/>
      <c r="AD144" s="203"/>
      <c r="AE144" s="203"/>
      <c r="AF144" s="203"/>
      <c r="AG144" s="203"/>
      <c r="AH144" s="203"/>
      <c r="AI144" s="203"/>
      <c r="AJ144" s="203"/>
      <c r="AK144" s="203"/>
      <c r="AL144" s="204"/>
      <c r="AM144"/>
    </row>
    <row r="145" spans="2:39" ht="12">
      <c r="B145" s="250" t="s">
        <v>101</v>
      </c>
      <c r="C145" s="267" t="s">
        <v>50</v>
      </c>
      <c r="D145" s="251">
        <f>SUM(E145:H145)</f>
        <v>0</v>
      </c>
      <c r="E145" s="207">
        <f t="shared" si="44"/>
        <v>0</v>
      </c>
      <c r="F145" s="207">
        <f t="shared" si="44"/>
        <v>0</v>
      </c>
      <c r="G145" s="207">
        <f t="shared" si="44"/>
        <v>0</v>
      </c>
      <c r="H145" s="207">
        <f t="shared" si="44"/>
        <v>0</v>
      </c>
      <c r="I145" s="205"/>
      <c r="J145" s="205"/>
      <c r="K145" s="205"/>
      <c r="L145" s="205"/>
      <c r="M145" s="205"/>
      <c r="N145" s="205"/>
      <c r="O145" s="205"/>
      <c r="P145" s="205"/>
      <c r="Q145" s="205"/>
      <c r="R145" s="205"/>
      <c r="S145" s="205"/>
      <c r="T145" s="205"/>
      <c r="U145" s="205"/>
      <c r="V145" s="205"/>
      <c r="W145" s="205"/>
      <c r="X145" s="205"/>
      <c r="Y145" s="205"/>
      <c r="Z145" s="205"/>
      <c r="AA145" s="205"/>
      <c r="AB145" s="205"/>
      <c r="AC145" s="205"/>
      <c r="AD145" s="205"/>
      <c r="AE145" s="205"/>
      <c r="AF145" s="205"/>
      <c r="AG145" s="205"/>
      <c r="AH145" s="205"/>
      <c r="AI145" s="205"/>
      <c r="AJ145" s="205"/>
      <c r="AK145" s="205"/>
      <c r="AL145" s="206"/>
      <c r="AM145"/>
    </row>
    <row r="146" spans="2:39" ht="12">
      <c r="B146" s="250" t="s">
        <v>302</v>
      </c>
      <c r="C146" s="267" t="s">
        <v>50</v>
      </c>
      <c r="D146" s="251">
        <f>SUM(E146:H146)</f>
        <v>36600000</v>
      </c>
      <c r="E146" s="207">
        <f t="shared" si="44"/>
        <v>1600000</v>
      </c>
      <c r="F146" s="207">
        <f t="shared" si="44"/>
        <v>27000000</v>
      </c>
      <c r="G146" s="207">
        <f t="shared" si="44"/>
        <v>5600000</v>
      </c>
      <c r="H146" s="207">
        <f t="shared" si="44"/>
        <v>2400000</v>
      </c>
      <c r="I146" s="205"/>
      <c r="J146" s="205"/>
      <c r="K146" s="205"/>
      <c r="L146" s="205"/>
      <c r="M146" s="205"/>
      <c r="N146" s="205"/>
      <c r="O146" s="205"/>
      <c r="P146" s="205"/>
      <c r="Q146" s="205"/>
      <c r="R146" s="205"/>
      <c r="S146" s="205"/>
      <c r="T146" s="205"/>
      <c r="U146" s="205"/>
      <c r="V146" s="205"/>
      <c r="W146" s="205"/>
      <c r="X146" s="205"/>
      <c r="Y146" s="205"/>
      <c r="Z146" s="205"/>
      <c r="AA146" s="205"/>
      <c r="AB146" s="205"/>
      <c r="AC146" s="205"/>
      <c r="AD146" s="205"/>
      <c r="AE146" s="205"/>
      <c r="AF146" s="205"/>
      <c r="AG146" s="205"/>
      <c r="AH146" s="205"/>
      <c r="AI146" s="205"/>
      <c r="AJ146" s="205"/>
      <c r="AK146" s="205"/>
      <c r="AL146" s="206"/>
      <c r="AM146"/>
    </row>
    <row r="147" spans="2:39" ht="12">
      <c r="B147" s="250" t="s">
        <v>102</v>
      </c>
      <c r="C147" s="267" t="s">
        <v>50</v>
      </c>
      <c r="D147" s="251">
        <f>SUM(E147:H147)</f>
        <v>1000000</v>
      </c>
      <c r="E147" s="207">
        <f t="shared" si="44"/>
        <v>0</v>
      </c>
      <c r="F147" s="207">
        <f t="shared" si="44"/>
        <v>550000</v>
      </c>
      <c r="G147" s="207">
        <f t="shared" si="44"/>
        <v>450000</v>
      </c>
      <c r="H147" s="207">
        <f t="shared" si="44"/>
        <v>0</v>
      </c>
      <c r="I147" s="205"/>
      <c r="J147" s="205"/>
      <c r="K147" s="205"/>
      <c r="L147" s="205"/>
      <c r="M147" s="205"/>
      <c r="N147" s="205"/>
      <c r="O147" s="205"/>
      <c r="P147" s="205"/>
      <c r="Q147" s="205"/>
      <c r="R147" s="205"/>
      <c r="S147" s="205"/>
      <c r="T147" s="205"/>
      <c r="U147" s="205"/>
      <c r="V147" s="205"/>
      <c r="W147" s="205"/>
      <c r="X147" s="205"/>
      <c r="Y147" s="205"/>
      <c r="Z147" s="205"/>
      <c r="AA147" s="205"/>
      <c r="AB147" s="205"/>
      <c r="AC147" s="205"/>
      <c r="AD147" s="205"/>
      <c r="AE147" s="205"/>
      <c r="AF147" s="205"/>
      <c r="AG147" s="205"/>
      <c r="AH147" s="205"/>
      <c r="AI147" s="205"/>
      <c r="AJ147" s="205"/>
      <c r="AK147" s="205"/>
      <c r="AL147" s="206"/>
      <c r="AM147"/>
    </row>
    <row r="148" spans="2:39" ht="12">
      <c r="B148" s="250" t="s">
        <v>303</v>
      </c>
      <c r="C148" s="267" t="s">
        <v>50</v>
      </c>
      <c r="D148" s="251">
        <f>SUM(D144:D147)</f>
        <v>83200000</v>
      </c>
      <c r="E148" s="207">
        <f>SUM(E144:E147)</f>
        <v>1600000</v>
      </c>
      <c r="F148" s="207">
        <f>SUM(F144:F147)</f>
        <v>27550000</v>
      </c>
      <c r="G148" s="207">
        <f>SUM(G144:G147)</f>
        <v>33410000</v>
      </c>
      <c r="H148" s="207">
        <f>SUM(H144:H147)</f>
        <v>20640000</v>
      </c>
      <c r="I148" s="205"/>
      <c r="J148" s="205"/>
      <c r="K148" s="205"/>
      <c r="L148" s="205"/>
      <c r="M148" s="205"/>
      <c r="N148" s="205"/>
      <c r="O148" s="205"/>
      <c r="P148" s="205"/>
      <c r="Q148" s="205"/>
      <c r="R148" s="205"/>
      <c r="S148" s="205"/>
      <c r="T148" s="205"/>
      <c r="U148" s="205"/>
      <c r="V148" s="205"/>
      <c r="W148" s="205"/>
      <c r="X148" s="205"/>
      <c r="Y148" s="205"/>
      <c r="Z148" s="205"/>
      <c r="AA148" s="205"/>
      <c r="AB148" s="205"/>
      <c r="AC148" s="205"/>
      <c r="AD148" s="205"/>
      <c r="AE148" s="205"/>
      <c r="AF148" s="205"/>
      <c r="AG148" s="205"/>
      <c r="AH148" s="205"/>
      <c r="AI148" s="205"/>
      <c r="AJ148" s="205"/>
      <c r="AK148" s="205"/>
      <c r="AL148" s="206"/>
      <c r="AM148"/>
    </row>
    <row r="149" spans="2:39" ht="12">
      <c r="B149" s="250"/>
      <c r="C149" s="267"/>
      <c r="D149" s="251"/>
      <c r="E149" s="432"/>
      <c r="F149" s="207"/>
      <c r="G149" s="207"/>
      <c r="H149" s="207"/>
      <c r="I149" s="205"/>
      <c r="J149" s="205"/>
      <c r="K149" s="205"/>
      <c r="L149" s="205"/>
      <c r="M149" s="205"/>
      <c r="N149" s="205"/>
      <c r="O149" s="205"/>
      <c r="P149" s="205"/>
      <c r="Q149" s="205"/>
      <c r="R149" s="205"/>
      <c r="S149" s="205"/>
      <c r="T149" s="205"/>
      <c r="U149" s="205"/>
      <c r="V149" s="205"/>
      <c r="W149" s="205"/>
      <c r="X149" s="205"/>
      <c r="Y149" s="205"/>
      <c r="Z149" s="205"/>
      <c r="AA149" s="205"/>
      <c r="AB149" s="205"/>
      <c r="AC149" s="205"/>
      <c r="AD149" s="205"/>
      <c r="AE149" s="205"/>
      <c r="AF149" s="205"/>
      <c r="AG149" s="205"/>
      <c r="AH149" s="205"/>
      <c r="AI149" s="205"/>
      <c r="AJ149" s="205"/>
      <c r="AK149" s="205"/>
      <c r="AL149" s="206"/>
      <c r="AM149"/>
    </row>
    <row r="150" spans="2:39" ht="12">
      <c r="B150" s="250" t="s">
        <v>30</v>
      </c>
      <c r="C150" s="267" t="s">
        <v>13</v>
      </c>
      <c r="D150" s="251">
        <f>D30*(1-D132)</f>
        <v>2160000</v>
      </c>
      <c r="E150" s="432"/>
      <c r="F150" s="207"/>
      <c r="G150" s="207"/>
      <c r="H150" s="195"/>
      <c r="I150" s="205">
        <f>D150</f>
        <v>2160000</v>
      </c>
      <c r="J150" s="205">
        <f>I150</f>
        <v>2160000</v>
      </c>
      <c r="K150" s="205">
        <f aca="true" t="shared" si="45" ref="K150:AL150">J150</f>
        <v>2160000</v>
      </c>
      <c r="L150" s="205">
        <f t="shared" si="45"/>
        <v>2160000</v>
      </c>
      <c r="M150" s="205">
        <f t="shared" si="45"/>
        <v>2160000</v>
      </c>
      <c r="N150" s="205">
        <f t="shared" si="45"/>
        <v>2160000</v>
      </c>
      <c r="O150" s="205">
        <f t="shared" si="45"/>
        <v>2160000</v>
      </c>
      <c r="P150" s="205">
        <f t="shared" si="45"/>
        <v>2160000</v>
      </c>
      <c r="Q150" s="205">
        <f t="shared" si="45"/>
        <v>2160000</v>
      </c>
      <c r="R150" s="205">
        <f t="shared" si="45"/>
        <v>2160000</v>
      </c>
      <c r="S150" s="205">
        <f t="shared" si="45"/>
        <v>2160000</v>
      </c>
      <c r="T150" s="205">
        <f t="shared" si="45"/>
        <v>2160000</v>
      </c>
      <c r="U150" s="205">
        <f t="shared" si="45"/>
        <v>2160000</v>
      </c>
      <c r="V150" s="205">
        <f t="shared" si="45"/>
        <v>2160000</v>
      </c>
      <c r="W150" s="205">
        <f t="shared" si="45"/>
        <v>2160000</v>
      </c>
      <c r="X150" s="205">
        <f t="shared" si="45"/>
        <v>2160000</v>
      </c>
      <c r="Y150" s="205">
        <f t="shared" si="45"/>
        <v>2160000</v>
      </c>
      <c r="Z150" s="205">
        <f t="shared" si="45"/>
        <v>2160000</v>
      </c>
      <c r="AA150" s="205">
        <f t="shared" si="45"/>
        <v>2160000</v>
      </c>
      <c r="AB150" s="205">
        <f t="shared" si="45"/>
        <v>2160000</v>
      </c>
      <c r="AC150" s="205">
        <f t="shared" si="45"/>
        <v>2160000</v>
      </c>
      <c r="AD150" s="205">
        <f t="shared" si="45"/>
        <v>2160000</v>
      </c>
      <c r="AE150" s="205">
        <f t="shared" si="45"/>
        <v>2160000</v>
      </c>
      <c r="AF150" s="205">
        <f t="shared" si="45"/>
        <v>2160000</v>
      </c>
      <c r="AG150" s="205">
        <f t="shared" si="45"/>
        <v>2160000</v>
      </c>
      <c r="AH150" s="205">
        <f t="shared" si="45"/>
        <v>2160000</v>
      </c>
      <c r="AI150" s="205">
        <f t="shared" si="45"/>
        <v>2160000</v>
      </c>
      <c r="AJ150" s="205">
        <f t="shared" si="45"/>
        <v>2160000</v>
      </c>
      <c r="AK150" s="205">
        <f t="shared" si="45"/>
        <v>2160000</v>
      </c>
      <c r="AL150" s="206">
        <f t="shared" si="45"/>
        <v>2160000</v>
      </c>
      <c r="AM150"/>
    </row>
    <row r="151" spans="2:39" ht="12">
      <c r="B151" s="194"/>
      <c r="C151" s="261"/>
      <c r="D151" s="195"/>
      <c r="E151" s="395"/>
      <c r="F151" s="195"/>
      <c r="G151" s="195"/>
      <c r="H151" s="195"/>
      <c r="I151" s="205"/>
      <c r="J151" s="205"/>
      <c r="K151" s="205"/>
      <c r="L151" s="205"/>
      <c r="M151" s="205"/>
      <c r="N151" s="205"/>
      <c r="O151" s="205"/>
      <c r="P151" s="205"/>
      <c r="Q151" s="205"/>
      <c r="R151" s="205"/>
      <c r="S151" s="205"/>
      <c r="T151" s="205"/>
      <c r="U151" s="205"/>
      <c r="V151" s="205"/>
      <c r="W151" s="205"/>
      <c r="X151" s="205"/>
      <c r="Y151" s="205"/>
      <c r="Z151" s="205"/>
      <c r="AA151" s="205"/>
      <c r="AB151" s="205"/>
      <c r="AC151" s="205"/>
      <c r="AD151" s="205"/>
      <c r="AE151" s="205"/>
      <c r="AF151" s="205"/>
      <c r="AG151" s="205"/>
      <c r="AH151" s="205"/>
      <c r="AI151" s="205"/>
      <c r="AJ151" s="205"/>
      <c r="AK151" s="205"/>
      <c r="AL151" s="206"/>
      <c r="AM151"/>
    </row>
    <row r="152" spans="2:39" ht="12">
      <c r="B152" s="250" t="s">
        <v>54</v>
      </c>
      <c r="C152" s="267" t="s">
        <v>263</v>
      </c>
      <c r="D152" s="251"/>
      <c r="E152" s="432"/>
      <c r="F152" s="195"/>
      <c r="G152" s="195"/>
      <c r="H152" s="195"/>
      <c r="I152" s="205">
        <f>I112</f>
        <v>0</v>
      </c>
      <c r="J152" s="205">
        <f aca="true" t="shared" si="46" ref="J152:AL152">J112</f>
        <v>0</v>
      </c>
      <c r="K152" s="205">
        <f t="shared" si="46"/>
        <v>0</v>
      </c>
      <c r="L152" s="205">
        <f t="shared" si="46"/>
        <v>0</v>
      </c>
      <c r="M152" s="205">
        <f t="shared" si="46"/>
        <v>0</v>
      </c>
      <c r="N152" s="205">
        <f t="shared" si="46"/>
        <v>0</v>
      </c>
      <c r="O152" s="205">
        <f t="shared" si="46"/>
        <v>13930000</v>
      </c>
      <c r="P152" s="205">
        <f t="shared" si="46"/>
        <v>0</v>
      </c>
      <c r="Q152" s="205">
        <f t="shared" si="46"/>
        <v>0</v>
      </c>
      <c r="R152" s="205">
        <f t="shared" si="46"/>
        <v>0</v>
      </c>
      <c r="S152" s="205">
        <f t="shared" si="46"/>
        <v>0</v>
      </c>
      <c r="T152" s="205">
        <f t="shared" si="46"/>
        <v>0</v>
      </c>
      <c r="U152" s="205">
        <f t="shared" si="46"/>
        <v>0</v>
      </c>
      <c r="V152" s="205">
        <f t="shared" si="46"/>
        <v>0</v>
      </c>
      <c r="W152" s="205">
        <f t="shared" si="46"/>
        <v>0</v>
      </c>
      <c r="X152" s="205">
        <f t="shared" si="46"/>
        <v>0</v>
      </c>
      <c r="Y152" s="205">
        <f t="shared" si="46"/>
        <v>0</v>
      </c>
      <c r="Z152" s="205">
        <f t="shared" si="46"/>
        <v>0</v>
      </c>
      <c r="AA152" s="205">
        <f t="shared" si="46"/>
        <v>0</v>
      </c>
      <c r="AB152" s="205">
        <f t="shared" si="46"/>
        <v>0</v>
      </c>
      <c r="AC152" s="205">
        <f t="shared" si="46"/>
        <v>0</v>
      </c>
      <c r="AD152" s="205">
        <f t="shared" si="46"/>
        <v>0</v>
      </c>
      <c r="AE152" s="205">
        <f t="shared" si="46"/>
        <v>0</v>
      </c>
      <c r="AF152" s="205">
        <f t="shared" si="46"/>
        <v>0</v>
      </c>
      <c r="AG152" s="205">
        <f t="shared" si="46"/>
        <v>0</v>
      </c>
      <c r="AH152" s="205">
        <f t="shared" si="46"/>
        <v>0</v>
      </c>
      <c r="AI152" s="205">
        <f t="shared" si="46"/>
        <v>0</v>
      </c>
      <c r="AJ152" s="205">
        <f t="shared" si="46"/>
        <v>0</v>
      </c>
      <c r="AK152" s="205">
        <f t="shared" si="46"/>
        <v>0</v>
      </c>
      <c r="AL152" s="206">
        <f t="shared" si="46"/>
        <v>0</v>
      </c>
      <c r="AM152"/>
    </row>
    <row r="153" spans="2:38" s="15" customFormat="1" ht="12">
      <c r="B153" s="254" t="s">
        <v>82</v>
      </c>
      <c r="C153" s="268" t="s">
        <v>263</v>
      </c>
      <c r="D153" s="255"/>
      <c r="E153" s="200">
        <f>SUM(E148:E152)</f>
        <v>1600000</v>
      </c>
      <c r="F153" s="200">
        <f>SUM(F148:F152)</f>
        <v>27550000</v>
      </c>
      <c r="G153" s="200">
        <f>SUM(G148:G152)</f>
        <v>33410000</v>
      </c>
      <c r="H153" s="200">
        <f>SUM(H148:H152)</f>
        <v>20640000</v>
      </c>
      <c r="I153" s="200">
        <f>SUM(I144:I152)</f>
        <v>2160000</v>
      </c>
      <c r="J153" s="200">
        <f>SUM(J144:J152)</f>
        <v>2160000</v>
      </c>
      <c r="K153" s="200">
        <f>SUM(K144:K152)</f>
        <v>2160000</v>
      </c>
      <c r="L153" s="200">
        <f>SUM(L144:L152)</f>
        <v>2160000</v>
      </c>
      <c r="M153" s="200">
        <f aca="true" t="shared" si="47" ref="M153:AL153">SUM(M144:M152)</f>
        <v>2160000</v>
      </c>
      <c r="N153" s="200">
        <f t="shared" si="47"/>
        <v>2160000</v>
      </c>
      <c r="O153" s="200">
        <f t="shared" si="47"/>
        <v>16090000</v>
      </c>
      <c r="P153" s="200">
        <f t="shared" si="47"/>
        <v>2160000</v>
      </c>
      <c r="Q153" s="200">
        <f t="shared" si="47"/>
        <v>2160000</v>
      </c>
      <c r="R153" s="200">
        <f t="shared" si="47"/>
        <v>2160000</v>
      </c>
      <c r="S153" s="200">
        <f t="shared" si="47"/>
        <v>2160000</v>
      </c>
      <c r="T153" s="200">
        <f t="shared" si="47"/>
        <v>2160000</v>
      </c>
      <c r="U153" s="200">
        <f t="shared" si="47"/>
        <v>2160000</v>
      </c>
      <c r="V153" s="200">
        <f t="shared" si="47"/>
        <v>2160000</v>
      </c>
      <c r="W153" s="200">
        <f t="shared" si="47"/>
        <v>2160000</v>
      </c>
      <c r="X153" s="200">
        <f t="shared" si="47"/>
        <v>2160000</v>
      </c>
      <c r="Y153" s="200">
        <f t="shared" si="47"/>
        <v>2160000</v>
      </c>
      <c r="Z153" s="200">
        <f t="shared" si="47"/>
        <v>2160000</v>
      </c>
      <c r="AA153" s="200">
        <f t="shared" si="47"/>
        <v>2160000</v>
      </c>
      <c r="AB153" s="200">
        <f t="shared" si="47"/>
        <v>2160000</v>
      </c>
      <c r="AC153" s="200">
        <f t="shared" si="47"/>
        <v>2160000</v>
      </c>
      <c r="AD153" s="200">
        <f t="shared" si="47"/>
        <v>2160000</v>
      </c>
      <c r="AE153" s="200">
        <f t="shared" si="47"/>
        <v>2160000</v>
      </c>
      <c r="AF153" s="200">
        <f t="shared" si="47"/>
        <v>2160000</v>
      </c>
      <c r="AG153" s="200">
        <f t="shared" si="47"/>
        <v>2160000</v>
      </c>
      <c r="AH153" s="200">
        <f t="shared" si="47"/>
        <v>2160000</v>
      </c>
      <c r="AI153" s="200">
        <f t="shared" si="47"/>
        <v>2160000</v>
      </c>
      <c r="AJ153" s="200">
        <f t="shared" si="47"/>
        <v>2160000</v>
      </c>
      <c r="AK153" s="200">
        <f t="shared" si="47"/>
        <v>2160000</v>
      </c>
      <c r="AL153" s="201">
        <f t="shared" si="47"/>
        <v>2160000</v>
      </c>
    </row>
    <row r="154" spans="5:39" ht="3.75" customHeight="1">
      <c r="E154" s="174"/>
      <c r="I154" s="176"/>
      <c r="J154" s="176"/>
      <c r="K154" s="176"/>
      <c r="L154" s="176"/>
      <c r="M154" s="176"/>
      <c r="N154" s="176"/>
      <c r="O154" s="176"/>
      <c r="P154" s="176"/>
      <c r="Q154" s="176"/>
      <c r="R154" s="176"/>
      <c r="S154" s="176"/>
      <c r="T154" s="176"/>
      <c r="U154" s="176"/>
      <c r="V154" s="176"/>
      <c r="W154" s="176"/>
      <c r="X154" s="176"/>
      <c r="Y154" s="176"/>
      <c r="Z154" s="176"/>
      <c r="AA154" s="176"/>
      <c r="AB154" s="176"/>
      <c r="AC154" s="176"/>
      <c r="AD154" s="176"/>
      <c r="AE154" s="176"/>
      <c r="AF154" s="176"/>
      <c r="AG154" s="176"/>
      <c r="AH154" s="176"/>
      <c r="AI154" s="176"/>
      <c r="AJ154" s="176"/>
      <c r="AK154" s="176"/>
      <c r="AL154" s="176"/>
      <c r="AM154"/>
    </row>
    <row r="155" spans="2:39" ht="12">
      <c r="B155" s="174" t="s">
        <v>231</v>
      </c>
      <c r="C155" s="258" t="s">
        <v>50</v>
      </c>
      <c r="E155" s="175">
        <f>E142-E153</f>
        <v>-1600000</v>
      </c>
      <c r="F155" s="175">
        <f>F142-F153</f>
        <v>-27550000</v>
      </c>
      <c r="G155" s="175">
        <f>G142-G153</f>
        <v>-33410000</v>
      </c>
      <c r="H155" s="175">
        <f>H142-H153</f>
        <v>-20640000</v>
      </c>
      <c r="I155" s="175">
        <f>I142-I153</f>
        <v>19126800</v>
      </c>
      <c r="J155" s="175">
        <f aca="true" t="shared" si="48" ref="J155:AL155">J142-J153</f>
        <v>19126800</v>
      </c>
      <c r="K155" s="175">
        <f t="shared" si="48"/>
        <v>19126800</v>
      </c>
      <c r="L155" s="175">
        <f t="shared" si="48"/>
        <v>19126800</v>
      </c>
      <c r="M155" s="175">
        <f t="shared" si="48"/>
        <v>19126800</v>
      </c>
      <c r="N155" s="175">
        <f t="shared" si="48"/>
        <v>19126800</v>
      </c>
      <c r="O155" s="175">
        <f t="shared" si="48"/>
        <v>5196800</v>
      </c>
      <c r="P155" s="175">
        <f t="shared" si="48"/>
        <v>19126800</v>
      </c>
      <c r="Q155" s="175">
        <f t="shared" si="48"/>
        <v>19126800</v>
      </c>
      <c r="R155" s="175">
        <f t="shared" si="48"/>
        <v>19126800</v>
      </c>
      <c r="S155" s="175">
        <f t="shared" si="48"/>
        <v>19126800</v>
      </c>
      <c r="T155" s="175">
        <f t="shared" si="48"/>
        <v>19126800</v>
      </c>
      <c r="U155" s="175">
        <f t="shared" si="48"/>
        <v>19126800</v>
      </c>
      <c r="V155" s="175">
        <f t="shared" si="48"/>
        <v>19126800</v>
      </c>
      <c r="W155" s="175">
        <f t="shared" si="48"/>
        <v>19126800</v>
      </c>
      <c r="X155" s="175">
        <f t="shared" si="48"/>
        <v>19126800</v>
      </c>
      <c r="Y155" s="175">
        <f t="shared" si="48"/>
        <v>19126800</v>
      </c>
      <c r="Z155" s="175">
        <f t="shared" si="48"/>
        <v>19126800</v>
      </c>
      <c r="AA155" s="175">
        <f t="shared" si="48"/>
        <v>19126800</v>
      </c>
      <c r="AB155" s="175">
        <f t="shared" si="48"/>
        <v>19126800</v>
      </c>
      <c r="AC155" s="175">
        <f t="shared" si="48"/>
        <v>19126800</v>
      </c>
      <c r="AD155" s="175">
        <f t="shared" si="48"/>
        <v>19126800</v>
      </c>
      <c r="AE155" s="175">
        <f t="shared" si="48"/>
        <v>19126800</v>
      </c>
      <c r="AF155" s="175">
        <f t="shared" si="48"/>
        <v>19126800</v>
      </c>
      <c r="AG155" s="175">
        <f t="shared" si="48"/>
        <v>19126800</v>
      </c>
      <c r="AH155" s="175">
        <f t="shared" si="48"/>
        <v>19126800</v>
      </c>
      <c r="AI155" s="175">
        <f t="shared" si="48"/>
        <v>19126800</v>
      </c>
      <c r="AJ155" s="175">
        <f t="shared" si="48"/>
        <v>19126800</v>
      </c>
      <c r="AK155" s="175">
        <f t="shared" si="48"/>
        <v>19126800</v>
      </c>
      <c r="AL155" s="175">
        <f t="shared" si="48"/>
        <v>27446800</v>
      </c>
      <c r="AM155"/>
    </row>
    <row r="156" spans="9:39" ht="3.75" customHeight="1">
      <c r="I156" s="176"/>
      <c r="J156" s="176"/>
      <c r="K156" s="176"/>
      <c r="L156" s="176"/>
      <c r="M156" s="176"/>
      <c r="N156" s="176"/>
      <c r="O156" s="176"/>
      <c r="P156" s="176"/>
      <c r="Q156" s="176"/>
      <c r="R156" s="176"/>
      <c r="S156" s="176"/>
      <c r="T156" s="176"/>
      <c r="U156" s="176"/>
      <c r="V156" s="176"/>
      <c r="W156" s="176"/>
      <c r="X156" s="176"/>
      <c r="Y156" s="176"/>
      <c r="Z156" s="176"/>
      <c r="AA156" s="176"/>
      <c r="AB156" s="176"/>
      <c r="AC156" s="176"/>
      <c r="AD156" s="176"/>
      <c r="AE156" s="176"/>
      <c r="AF156" s="176"/>
      <c r="AG156" s="176"/>
      <c r="AH156" s="176"/>
      <c r="AI156" s="176"/>
      <c r="AJ156" s="176"/>
      <c r="AK156" s="176"/>
      <c r="AL156" s="176"/>
      <c r="AM156"/>
    </row>
    <row r="157" spans="2:39" ht="12">
      <c r="B157" s="229" t="s">
        <v>193</v>
      </c>
      <c r="C157" s="269" t="s">
        <v>141</v>
      </c>
      <c r="D157" s="230">
        <f>Summary!E64</f>
        <v>0</v>
      </c>
      <c r="E157" s="433"/>
      <c r="F157" s="191"/>
      <c r="G157" s="191"/>
      <c r="H157" s="191"/>
      <c r="I157" s="203">
        <f>$D$37*I150</f>
        <v>0</v>
      </c>
      <c r="J157" s="203">
        <f aca="true" t="shared" si="49" ref="J157:AL157">$D$37*J150</f>
        <v>0</v>
      </c>
      <c r="K157" s="203">
        <f t="shared" si="49"/>
        <v>0</v>
      </c>
      <c r="L157" s="203">
        <f t="shared" si="49"/>
        <v>0</v>
      </c>
      <c r="M157" s="203">
        <f t="shared" si="49"/>
        <v>0</v>
      </c>
      <c r="N157" s="203">
        <f t="shared" si="49"/>
        <v>0</v>
      </c>
      <c r="O157" s="203">
        <f t="shared" si="49"/>
        <v>0</v>
      </c>
      <c r="P157" s="203">
        <f t="shared" si="49"/>
        <v>0</v>
      </c>
      <c r="Q157" s="203">
        <f t="shared" si="49"/>
        <v>0</v>
      </c>
      <c r="R157" s="203">
        <f t="shared" si="49"/>
        <v>0</v>
      </c>
      <c r="S157" s="203">
        <f t="shared" si="49"/>
        <v>0</v>
      </c>
      <c r="T157" s="203">
        <f t="shared" si="49"/>
        <v>0</v>
      </c>
      <c r="U157" s="203">
        <f t="shared" si="49"/>
        <v>0</v>
      </c>
      <c r="V157" s="203">
        <f t="shared" si="49"/>
        <v>0</v>
      </c>
      <c r="W157" s="203">
        <f t="shared" si="49"/>
        <v>0</v>
      </c>
      <c r="X157" s="203">
        <f t="shared" si="49"/>
        <v>0</v>
      </c>
      <c r="Y157" s="203">
        <f t="shared" si="49"/>
        <v>0</v>
      </c>
      <c r="Z157" s="203">
        <f t="shared" si="49"/>
        <v>0</v>
      </c>
      <c r="AA157" s="203">
        <f t="shared" si="49"/>
        <v>0</v>
      </c>
      <c r="AB157" s="203">
        <f t="shared" si="49"/>
        <v>0</v>
      </c>
      <c r="AC157" s="203">
        <f t="shared" si="49"/>
        <v>0</v>
      </c>
      <c r="AD157" s="203">
        <f t="shared" si="49"/>
        <v>0</v>
      </c>
      <c r="AE157" s="203">
        <f t="shared" si="49"/>
        <v>0</v>
      </c>
      <c r="AF157" s="203">
        <f t="shared" si="49"/>
        <v>0</v>
      </c>
      <c r="AG157" s="203">
        <f t="shared" si="49"/>
        <v>0</v>
      </c>
      <c r="AH157" s="203">
        <f t="shared" si="49"/>
        <v>0</v>
      </c>
      <c r="AI157" s="203">
        <f t="shared" si="49"/>
        <v>0</v>
      </c>
      <c r="AJ157" s="203">
        <f t="shared" si="49"/>
        <v>0</v>
      </c>
      <c r="AK157" s="203">
        <f t="shared" si="49"/>
        <v>0</v>
      </c>
      <c r="AL157" s="204">
        <f t="shared" si="49"/>
        <v>0</v>
      </c>
      <c r="AM157"/>
    </row>
    <row r="158" spans="2:39" ht="12">
      <c r="B158" s="228"/>
      <c r="C158" s="263"/>
      <c r="D158" s="380"/>
      <c r="E158" s="434"/>
      <c r="F158" s="195"/>
      <c r="G158" s="195"/>
      <c r="H158" s="195"/>
      <c r="I158" s="205"/>
      <c r="J158" s="205"/>
      <c r="K158" s="205"/>
      <c r="L158" s="205"/>
      <c r="M158" s="205"/>
      <c r="N158" s="205"/>
      <c r="O158" s="205"/>
      <c r="P158" s="205"/>
      <c r="Q158" s="205"/>
      <c r="R158" s="205"/>
      <c r="S158" s="205"/>
      <c r="T158" s="205"/>
      <c r="U158" s="205"/>
      <c r="V158" s="205"/>
      <c r="W158" s="205"/>
      <c r="X158" s="205"/>
      <c r="Y158" s="205"/>
      <c r="Z158" s="205"/>
      <c r="AA158" s="205"/>
      <c r="AB158" s="205"/>
      <c r="AC158" s="205"/>
      <c r="AD158" s="205"/>
      <c r="AE158" s="205"/>
      <c r="AF158" s="205"/>
      <c r="AG158" s="205"/>
      <c r="AH158" s="205"/>
      <c r="AI158" s="205"/>
      <c r="AJ158" s="205"/>
      <c r="AK158" s="205"/>
      <c r="AL158" s="206"/>
      <c r="AM158"/>
    </row>
    <row r="159" spans="2:39" ht="12">
      <c r="B159" s="194" t="str">
        <f>B119</f>
        <v>Total depreciation for upstream and downstream</v>
      </c>
      <c r="C159" s="261" t="s">
        <v>274</v>
      </c>
      <c r="D159" s="205"/>
      <c r="E159" s="394"/>
      <c r="F159" s="195"/>
      <c r="G159" s="195"/>
      <c r="H159" s="195"/>
      <c r="I159" s="208">
        <f>I39</f>
        <v>5940000</v>
      </c>
      <c r="J159" s="208">
        <f aca="true" t="shared" si="50" ref="J159:AL159">J39</f>
        <v>5940000</v>
      </c>
      <c r="K159" s="208">
        <f t="shared" si="50"/>
        <v>5940000</v>
      </c>
      <c r="L159" s="208">
        <f t="shared" si="50"/>
        <v>5940000</v>
      </c>
      <c r="M159" s="208">
        <f t="shared" si="50"/>
        <v>5940000</v>
      </c>
      <c r="N159" s="208">
        <f t="shared" si="50"/>
        <v>5940000</v>
      </c>
      <c r="O159" s="208">
        <f t="shared" si="50"/>
        <v>5940000</v>
      </c>
      <c r="P159" s="208">
        <f t="shared" si="50"/>
        <v>7333000</v>
      </c>
      <c r="Q159" s="208">
        <f t="shared" si="50"/>
        <v>7333000</v>
      </c>
      <c r="R159" s="208">
        <f t="shared" si="50"/>
        <v>7333000</v>
      </c>
      <c r="S159" s="208">
        <f t="shared" si="50"/>
        <v>3673000</v>
      </c>
      <c r="T159" s="208">
        <f t="shared" si="50"/>
        <v>3673000</v>
      </c>
      <c r="U159" s="208">
        <f t="shared" si="50"/>
        <v>3673000</v>
      </c>
      <c r="V159" s="208">
        <f t="shared" si="50"/>
        <v>3673000</v>
      </c>
      <c r="W159" s="208">
        <f t="shared" si="50"/>
        <v>3673000</v>
      </c>
      <c r="X159" s="208">
        <f t="shared" si="50"/>
        <v>3673000</v>
      </c>
      <c r="Y159" s="208">
        <f t="shared" si="50"/>
        <v>3673000</v>
      </c>
      <c r="Z159" s="208">
        <f t="shared" si="50"/>
        <v>2280000</v>
      </c>
      <c r="AA159" s="208">
        <f t="shared" si="50"/>
        <v>2280000</v>
      </c>
      <c r="AB159" s="208">
        <f t="shared" si="50"/>
        <v>2280000</v>
      </c>
      <c r="AC159" s="208">
        <f t="shared" si="50"/>
        <v>0</v>
      </c>
      <c r="AD159" s="208">
        <f t="shared" si="50"/>
        <v>0</v>
      </c>
      <c r="AE159" s="208">
        <f t="shared" si="50"/>
        <v>0</v>
      </c>
      <c r="AF159" s="208">
        <f t="shared" si="50"/>
        <v>0</v>
      </c>
      <c r="AG159" s="208">
        <f t="shared" si="50"/>
        <v>0</v>
      </c>
      <c r="AH159" s="208">
        <f t="shared" si="50"/>
        <v>0</v>
      </c>
      <c r="AI159" s="208">
        <f t="shared" si="50"/>
        <v>0</v>
      </c>
      <c r="AJ159" s="208">
        <f t="shared" si="50"/>
        <v>0</v>
      </c>
      <c r="AK159" s="208">
        <f t="shared" si="50"/>
        <v>0</v>
      </c>
      <c r="AL159" s="383">
        <f t="shared" si="50"/>
        <v>0</v>
      </c>
      <c r="AM159"/>
    </row>
    <row r="160" spans="2:38" s="28" customFormat="1" ht="12">
      <c r="B160" s="231" t="s">
        <v>287</v>
      </c>
      <c r="C160" s="270" t="s">
        <v>112</v>
      </c>
      <c r="D160" s="232"/>
      <c r="E160" s="435"/>
      <c r="F160" s="232"/>
      <c r="G160" s="232"/>
      <c r="H160" s="232"/>
      <c r="I160" s="233">
        <f aca="true" t="shared" si="51" ref="I160:AL160">I155-I159</f>
        <v>13186800</v>
      </c>
      <c r="J160" s="233">
        <f t="shared" si="51"/>
        <v>13186800</v>
      </c>
      <c r="K160" s="233">
        <f t="shared" si="51"/>
        <v>13186800</v>
      </c>
      <c r="L160" s="233">
        <f t="shared" si="51"/>
        <v>13186800</v>
      </c>
      <c r="M160" s="233">
        <f t="shared" si="51"/>
        <v>13186800</v>
      </c>
      <c r="N160" s="233">
        <f t="shared" si="51"/>
        <v>13186800</v>
      </c>
      <c r="O160" s="233">
        <f t="shared" si="51"/>
        <v>-743200</v>
      </c>
      <c r="P160" s="233">
        <f t="shared" si="51"/>
        <v>11793800</v>
      </c>
      <c r="Q160" s="233">
        <f t="shared" si="51"/>
        <v>11793800</v>
      </c>
      <c r="R160" s="233">
        <f t="shared" si="51"/>
        <v>11793800</v>
      </c>
      <c r="S160" s="233">
        <f t="shared" si="51"/>
        <v>15453800</v>
      </c>
      <c r="T160" s="233">
        <f t="shared" si="51"/>
        <v>15453800</v>
      </c>
      <c r="U160" s="233">
        <f t="shared" si="51"/>
        <v>15453800</v>
      </c>
      <c r="V160" s="233">
        <f t="shared" si="51"/>
        <v>15453800</v>
      </c>
      <c r="W160" s="233">
        <f t="shared" si="51"/>
        <v>15453800</v>
      </c>
      <c r="X160" s="233">
        <f t="shared" si="51"/>
        <v>15453800</v>
      </c>
      <c r="Y160" s="233">
        <f t="shared" si="51"/>
        <v>15453800</v>
      </c>
      <c r="Z160" s="233">
        <f t="shared" si="51"/>
        <v>16846800</v>
      </c>
      <c r="AA160" s="233">
        <f t="shared" si="51"/>
        <v>16846800</v>
      </c>
      <c r="AB160" s="233">
        <f t="shared" si="51"/>
        <v>16846800</v>
      </c>
      <c r="AC160" s="233">
        <f t="shared" si="51"/>
        <v>19126800</v>
      </c>
      <c r="AD160" s="233">
        <f t="shared" si="51"/>
        <v>19126800</v>
      </c>
      <c r="AE160" s="233">
        <f t="shared" si="51"/>
        <v>19126800</v>
      </c>
      <c r="AF160" s="233">
        <f t="shared" si="51"/>
        <v>19126800</v>
      </c>
      <c r="AG160" s="233">
        <f t="shared" si="51"/>
        <v>19126800</v>
      </c>
      <c r="AH160" s="233">
        <f t="shared" si="51"/>
        <v>19126800</v>
      </c>
      <c r="AI160" s="233">
        <f t="shared" si="51"/>
        <v>19126800</v>
      </c>
      <c r="AJ160" s="233">
        <f t="shared" si="51"/>
        <v>19126800</v>
      </c>
      <c r="AK160" s="233">
        <f t="shared" si="51"/>
        <v>19126800</v>
      </c>
      <c r="AL160" s="398">
        <f t="shared" si="51"/>
        <v>27446800</v>
      </c>
    </row>
    <row r="161" spans="2:39" ht="12">
      <c r="B161" s="256" t="s">
        <v>118</v>
      </c>
      <c r="C161" s="271" t="s">
        <v>110</v>
      </c>
      <c r="D161" s="257">
        <f>Summary!E50</f>
        <v>0.34</v>
      </c>
      <c r="E161" s="436"/>
      <c r="F161" s="209"/>
      <c r="G161" s="209"/>
      <c r="H161" s="209"/>
      <c r="I161" s="210">
        <f>H160*$D$41</f>
        <v>0</v>
      </c>
      <c r="J161" s="210">
        <f>I160*$D$41</f>
        <v>4483512</v>
      </c>
      <c r="K161" s="210">
        <f aca="true" t="shared" si="52" ref="K161:AL161">J160*$D$41</f>
        <v>4483512</v>
      </c>
      <c r="L161" s="210">
        <f t="shared" si="52"/>
        <v>4483512</v>
      </c>
      <c r="M161" s="210">
        <f t="shared" si="52"/>
        <v>4483512</v>
      </c>
      <c r="N161" s="210">
        <f t="shared" si="52"/>
        <v>4483512</v>
      </c>
      <c r="O161" s="210">
        <f t="shared" si="52"/>
        <v>4483512</v>
      </c>
      <c r="P161" s="210">
        <f t="shared" si="52"/>
        <v>-252688.00000000003</v>
      </c>
      <c r="Q161" s="210">
        <f t="shared" si="52"/>
        <v>4009892.0000000005</v>
      </c>
      <c r="R161" s="210">
        <f t="shared" si="52"/>
        <v>4009892.0000000005</v>
      </c>
      <c r="S161" s="210">
        <f t="shared" si="52"/>
        <v>4009892.0000000005</v>
      </c>
      <c r="T161" s="210">
        <f t="shared" si="52"/>
        <v>5254292</v>
      </c>
      <c r="U161" s="210">
        <f t="shared" si="52"/>
        <v>5254292</v>
      </c>
      <c r="V161" s="210">
        <f t="shared" si="52"/>
        <v>5254292</v>
      </c>
      <c r="W161" s="210">
        <f t="shared" si="52"/>
        <v>5254292</v>
      </c>
      <c r="X161" s="210">
        <f t="shared" si="52"/>
        <v>5254292</v>
      </c>
      <c r="Y161" s="210">
        <f t="shared" si="52"/>
        <v>5254292</v>
      </c>
      <c r="Z161" s="210">
        <f t="shared" si="52"/>
        <v>5254292</v>
      </c>
      <c r="AA161" s="210">
        <f t="shared" si="52"/>
        <v>5727912</v>
      </c>
      <c r="AB161" s="210">
        <f t="shared" si="52"/>
        <v>5727912</v>
      </c>
      <c r="AC161" s="210">
        <f t="shared" si="52"/>
        <v>5727912</v>
      </c>
      <c r="AD161" s="210">
        <f t="shared" si="52"/>
        <v>6503112.000000001</v>
      </c>
      <c r="AE161" s="210">
        <f t="shared" si="52"/>
        <v>6503112.000000001</v>
      </c>
      <c r="AF161" s="210">
        <f t="shared" si="52"/>
        <v>6503112.000000001</v>
      </c>
      <c r="AG161" s="210">
        <f t="shared" si="52"/>
        <v>6503112.000000001</v>
      </c>
      <c r="AH161" s="210">
        <f t="shared" si="52"/>
        <v>6503112.000000001</v>
      </c>
      <c r="AI161" s="210">
        <f t="shared" si="52"/>
        <v>6503112.000000001</v>
      </c>
      <c r="AJ161" s="210">
        <f t="shared" si="52"/>
        <v>6503112.000000001</v>
      </c>
      <c r="AK161" s="210">
        <f t="shared" si="52"/>
        <v>6503112.000000001</v>
      </c>
      <c r="AL161" s="333">
        <f t="shared" si="52"/>
        <v>6503112.000000001</v>
      </c>
      <c r="AM161"/>
    </row>
    <row r="162" spans="10:39" ht="4.5" customHeight="1">
      <c r="J162" s="176"/>
      <c r="K162" s="176"/>
      <c r="L162" s="176"/>
      <c r="M162" s="176"/>
      <c r="N162" s="176"/>
      <c r="O162" s="176"/>
      <c r="P162" s="176"/>
      <c r="Q162" s="176"/>
      <c r="R162" s="176"/>
      <c r="S162" s="176"/>
      <c r="T162" s="176"/>
      <c r="U162" s="176"/>
      <c r="V162" s="176"/>
      <c r="W162" s="176"/>
      <c r="X162" s="176"/>
      <c r="Y162" s="176"/>
      <c r="Z162" s="176"/>
      <c r="AA162" s="176"/>
      <c r="AB162" s="176"/>
      <c r="AC162" s="176"/>
      <c r="AD162" s="176"/>
      <c r="AE162" s="176"/>
      <c r="AF162" s="176"/>
      <c r="AG162" s="176"/>
      <c r="AH162" s="176"/>
      <c r="AI162" s="176"/>
      <c r="AJ162" s="176"/>
      <c r="AK162" s="176"/>
      <c r="AL162" s="176"/>
      <c r="AM162"/>
    </row>
    <row r="163" spans="2:38" s="15" customFormat="1" ht="12">
      <c r="B163" s="177" t="s">
        <v>9</v>
      </c>
      <c r="C163" s="272" t="s">
        <v>50</v>
      </c>
      <c r="D163" s="177"/>
      <c r="E163" s="178">
        <f aca="true" t="shared" si="53" ref="E163:AL163">E155-E157-E161</f>
        <v>-1600000</v>
      </c>
      <c r="F163" s="178">
        <f t="shared" si="53"/>
        <v>-27550000</v>
      </c>
      <c r="G163" s="178">
        <f t="shared" si="53"/>
        <v>-33410000</v>
      </c>
      <c r="H163" s="178">
        <f t="shared" si="53"/>
        <v>-20640000</v>
      </c>
      <c r="I163" s="178">
        <f t="shared" si="53"/>
        <v>19126800</v>
      </c>
      <c r="J163" s="179">
        <f t="shared" si="53"/>
        <v>14643288</v>
      </c>
      <c r="K163" s="179">
        <f t="shared" si="53"/>
        <v>14643288</v>
      </c>
      <c r="L163" s="179">
        <f t="shared" si="53"/>
        <v>14643288</v>
      </c>
      <c r="M163" s="179">
        <f t="shared" si="53"/>
        <v>14643288</v>
      </c>
      <c r="N163" s="179">
        <f t="shared" si="53"/>
        <v>14643288</v>
      </c>
      <c r="O163" s="179">
        <f t="shared" si="53"/>
        <v>713288</v>
      </c>
      <c r="P163" s="179">
        <f t="shared" si="53"/>
        <v>19379488</v>
      </c>
      <c r="Q163" s="179">
        <f t="shared" si="53"/>
        <v>15116908</v>
      </c>
      <c r="R163" s="179">
        <f t="shared" si="53"/>
        <v>15116908</v>
      </c>
      <c r="S163" s="179">
        <f t="shared" si="53"/>
        <v>15116908</v>
      </c>
      <c r="T163" s="179">
        <f t="shared" si="53"/>
        <v>13872508</v>
      </c>
      <c r="U163" s="179">
        <f t="shared" si="53"/>
        <v>13872508</v>
      </c>
      <c r="V163" s="179">
        <f t="shared" si="53"/>
        <v>13872508</v>
      </c>
      <c r="W163" s="179">
        <f t="shared" si="53"/>
        <v>13872508</v>
      </c>
      <c r="X163" s="179">
        <f t="shared" si="53"/>
        <v>13872508</v>
      </c>
      <c r="Y163" s="179">
        <f t="shared" si="53"/>
        <v>13872508</v>
      </c>
      <c r="Z163" s="179">
        <f t="shared" si="53"/>
        <v>13872508</v>
      </c>
      <c r="AA163" s="179">
        <f t="shared" si="53"/>
        <v>13398888</v>
      </c>
      <c r="AB163" s="179">
        <f t="shared" si="53"/>
        <v>13398888</v>
      </c>
      <c r="AC163" s="179">
        <f t="shared" si="53"/>
        <v>13398888</v>
      </c>
      <c r="AD163" s="179">
        <f t="shared" si="53"/>
        <v>12623688</v>
      </c>
      <c r="AE163" s="179">
        <f t="shared" si="53"/>
        <v>12623688</v>
      </c>
      <c r="AF163" s="179">
        <f t="shared" si="53"/>
        <v>12623688</v>
      </c>
      <c r="AG163" s="179">
        <f t="shared" si="53"/>
        <v>12623688</v>
      </c>
      <c r="AH163" s="179">
        <f t="shared" si="53"/>
        <v>12623688</v>
      </c>
      <c r="AI163" s="179">
        <f t="shared" si="53"/>
        <v>12623688</v>
      </c>
      <c r="AJ163" s="179">
        <f t="shared" si="53"/>
        <v>12623688</v>
      </c>
      <c r="AK163" s="179">
        <f t="shared" si="53"/>
        <v>12623688</v>
      </c>
      <c r="AL163" s="179">
        <f t="shared" si="53"/>
        <v>20943688</v>
      </c>
    </row>
    <row r="164" ht="4.5" customHeight="1"/>
    <row r="165" ht="12.75" thickBot="1"/>
    <row r="166" spans="2:8" ht="12.75" thickBot="1">
      <c r="B166" s="308" t="s">
        <v>8</v>
      </c>
      <c r="C166" s="309"/>
      <c r="D166" s="310">
        <f>IRR(E163:AL163,0.1)</f>
        <v>0.14630295751208822</v>
      </c>
      <c r="E166" s="241" t="s">
        <v>127</v>
      </c>
      <c r="G166" s="189"/>
      <c r="H166" s="189"/>
    </row>
    <row r="167" ht="4.5" customHeight="1"/>
    <row r="187" spans="2:39" ht="12">
      <c r="B187"/>
      <c r="C187"/>
      <c r="D187"/>
      <c r="E187" s="9"/>
      <c r="K187"/>
      <c r="L187"/>
      <c r="M187"/>
      <c r="N187"/>
      <c r="O187"/>
      <c r="P187"/>
      <c r="Q187"/>
      <c r="R187"/>
      <c r="S187"/>
      <c r="T187"/>
      <c r="U187"/>
      <c r="V187"/>
      <c r="W187"/>
      <c r="X187"/>
      <c r="Y187"/>
      <c r="Z187"/>
      <c r="AA187"/>
      <c r="AB187"/>
      <c r="AC187"/>
      <c r="AD187"/>
      <c r="AE187"/>
      <c r="AF187"/>
      <c r="AG187"/>
      <c r="AH187"/>
      <c r="AI187"/>
      <c r="AJ187"/>
      <c r="AK187"/>
      <c r="AL187"/>
      <c r="AM187"/>
    </row>
    <row r="188" spans="2:39" ht="12">
      <c r="B188"/>
      <c r="C188"/>
      <c r="D188"/>
      <c r="E188" s="9"/>
      <c r="K188"/>
      <c r="L188"/>
      <c r="M188"/>
      <c r="N188"/>
      <c r="O188"/>
      <c r="P188"/>
      <c r="Q188"/>
      <c r="R188"/>
      <c r="S188"/>
      <c r="T188"/>
      <c r="U188"/>
      <c r="V188"/>
      <c r="W188"/>
      <c r="X188"/>
      <c r="Y188"/>
      <c r="Z188"/>
      <c r="AA188"/>
      <c r="AB188"/>
      <c r="AC188"/>
      <c r="AD188"/>
      <c r="AE188"/>
      <c r="AF188"/>
      <c r="AG188"/>
      <c r="AH188"/>
      <c r="AI188"/>
      <c r="AJ188"/>
      <c r="AK188"/>
      <c r="AL188"/>
      <c r="AM188"/>
    </row>
    <row r="189" spans="2:39" ht="12">
      <c r="B189"/>
      <c r="C189"/>
      <c r="D189"/>
      <c r="E189" s="9"/>
      <c r="K189"/>
      <c r="L189"/>
      <c r="M189"/>
      <c r="N189"/>
      <c r="O189"/>
      <c r="P189"/>
      <c r="Q189"/>
      <c r="R189"/>
      <c r="S189"/>
      <c r="T189"/>
      <c r="U189"/>
      <c r="V189"/>
      <c r="W189"/>
      <c r="X189"/>
      <c r="Y189"/>
      <c r="Z189"/>
      <c r="AA189"/>
      <c r="AB189"/>
      <c r="AC189"/>
      <c r="AD189"/>
      <c r="AE189"/>
      <c r="AF189"/>
      <c r="AG189"/>
      <c r="AH189"/>
      <c r="AI189"/>
      <c r="AJ189"/>
      <c r="AK189"/>
      <c r="AL189"/>
      <c r="AM189"/>
    </row>
    <row r="190" spans="2:39" ht="12">
      <c r="B190"/>
      <c r="C190"/>
      <c r="D190"/>
      <c r="E190" s="9"/>
      <c r="K190"/>
      <c r="L190"/>
      <c r="M190"/>
      <c r="N190"/>
      <c r="O190"/>
      <c r="P190"/>
      <c r="Q190"/>
      <c r="R190"/>
      <c r="S190"/>
      <c r="T190"/>
      <c r="U190"/>
      <c r="V190"/>
      <c r="W190"/>
      <c r="X190"/>
      <c r="Y190"/>
      <c r="Z190"/>
      <c r="AA190"/>
      <c r="AB190"/>
      <c r="AC190"/>
      <c r="AD190"/>
      <c r="AE190"/>
      <c r="AF190"/>
      <c r="AG190"/>
      <c r="AH190"/>
      <c r="AI190"/>
      <c r="AJ190"/>
      <c r="AK190"/>
      <c r="AL190"/>
      <c r="AM190"/>
    </row>
    <row r="191" spans="2:39" ht="12">
      <c r="B191"/>
      <c r="C191"/>
      <c r="D191"/>
      <c r="E191" s="9"/>
      <c r="K191"/>
      <c r="L191"/>
      <c r="M191"/>
      <c r="N191"/>
      <c r="O191"/>
      <c r="P191"/>
      <c r="Q191"/>
      <c r="R191"/>
      <c r="S191"/>
      <c r="T191"/>
      <c r="U191"/>
      <c r="V191"/>
      <c r="W191"/>
      <c r="X191"/>
      <c r="Y191"/>
      <c r="Z191"/>
      <c r="AA191"/>
      <c r="AB191"/>
      <c r="AC191"/>
      <c r="AD191"/>
      <c r="AE191"/>
      <c r="AF191"/>
      <c r="AG191"/>
      <c r="AH191"/>
      <c r="AI191"/>
      <c r="AJ191"/>
      <c r="AK191"/>
      <c r="AL191"/>
      <c r="AM191"/>
    </row>
    <row r="192" spans="2:39" ht="12">
      <c r="B192"/>
      <c r="C192"/>
      <c r="D192"/>
      <c r="E192" s="9"/>
      <c r="K192"/>
      <c r="L192"/>
      <c r="M192"/>
      <c r="N192"/>
      <c r="O192"/>
      <c r="P192"/>
      <c r="Q192"/>
      <c r="R192"/>
      <c r="S192"/>
      <c r="T192"/>
      <c r="U192"/>
      <c r="V192"/>
      <c r="W192"/>
      <c r="X192"/>
      <c r="Y192"/>
      <c r="Z192"/>
      <c r="AA192"/>
      <c r="AB192"/>
      <c r="AC192"/>
      <c r="AD192"/>
      <c r="AE192"/>
      <c r="AF192"/>
      <c r="AG192"/>
      <c r="AH192"/>
      <c r="AI192"/>
      <c r="AJ192"/>
      <c r="AK192"/>
      <c r="AL192"/>
      <c r="AM192"/>
    </row>
    <row r="193" spans="2:39" ht="12">
      <c r="B193"/>
      <c r="C193"/>
      <c r="D193"/>
      <c r="E193" s="9"/>
      <c r="K193"/>
      <c r="L193"/>
      <c r="M193"/>
      <c r="N193"/>
      <c r="O193"/>
      <c r="P193"/>
      <c r="Q193"/>
      <c r="R193"/>
      <c r="S193"/>
      <c r="T193"/>
      <c r="U193"/>
      <c r="V193"/>
      <c r="W193"/>
      <c r="X193"/>
      <c r="Y193"/>
      <c r="Z193"/>
      <c r="AA193"/>
      <c r="AB193"/>
      <c r="AC193"/>
      <c r="AD193"/>
      <c r="AE193"/>
      <c r="AF193"/>
      <c r="AG193"/>
      <c r="AH193"/>
      <c r="AI193"/>
      <c r="AJ193"/>
      <c r="AK193"/>
      <c r="AL193"/>
      <c r="AM193"/>
    </row>
    <row r="194" spans="2:39" ht="12">
      <c r="B194"/>
      <c r="C194"/>
      <c r="D194"/>
      <c r="E194" s="9"/>
      <c r="K194"/>
      <c r="L194"/>
      <c r="M194"/>
      <c r="N194"/>
      <c r="O194"/>
      <c r="P194"/>
      <c r="Q194"/>
      <c r="R194"/>
      <c r="S194"/>
      <c r="T194"/>
      <c r="U194"/>
      <c r="V194"/>
      <c r="W194"/>
      <c r="X194"/>
      <c r="Y194"/>
      <c r="Z194"/>
      <c r="AA194"/>
      <c r="AB194"/>
      <c r="AC194"/>
      <c r="AD194"/>
      <c r="AE194"/>
      <c r="AF194"/>
      <c r="AG194"/>
      <c r="AH194"/>
      <c r="AI194"/>
      <c r="AJ194"/>
      <c r="AK194"/>
      <c r="AL194"/>
      <c r="AM194"/>
    </row>
    <row r="195" spans="2:39" ht="12">
      <c r="B195"/>
      <c r="C195"/>
      <c r="D195"/>
      <c r="E195" s="9"/>
      <c r="K195"/>
      <c r="L195"/>
      <c r="M195"/>
      <c r="N195"/>
      <c r="O195"/>
      <c r="P195"/>
      <c r="Q195"/>
      <c r="R195"/>
      <c r="S195"/>
      <c r="T195"/>
      <c r="U195"/>
      <c r="V195"/>
      <c r="W195"/>
      <c r="X195"/>
      <c r="Y195"/>
      <c r="Z195"/>
      <c r="AA195"/>
      <c r="AB195"/>
      <c r="AC195"/>
      <c r="AD195"/>
      <c r="AE195"/>
      <c r="AF195"/>
      <c r="AG195"/>
      <c r="AH195"/>
      <c r="AI195"/>
      <c r="AJ195"/>
      <c r="AK195"/>
      <c r="AL195"/>
      <c r="AM195"/>
    </row>
    <row r="196" spans="2:39" ht="12">
      <c r="B196"/>
      <c r="C196"/>
      <c r="D196"/>
      <c r="E196" s="9"/>
      <c r="K196"/>
      <c r="L196"/>
      <c r="M196"/>
      <c r="N196"/>
      <c r="O196"/>
      <c r="P196"/>
      <c r="Q196"/>
      <c r="R196"/>
      <c r="S196"/>
      <c r="T196"/>
      <c r="U196"/>
      <c r="V196"/>
      <c r="W196"/>
      <c r="X196"/>
      <c r="Y196"/>
      <c r="Z196"/>
      <c r="AA196"/>
      <c r="AB196"/>
      <c r="AC196"/>
      <c r="AD196"/>
      <c r="AE196"/>
      <c r="AF196"/>
      <c r="AG196"/>
      <c r="AH196"/>
      <c r="AI196"/>
      <c r="AJ196"/>
      <c r="AK196"/>
      <c r="AL196"/>
      <c r="AM196"/>
    </row>
    <row r="197" spans="2:39" ht="12">
      <c r="B197"/>
      <c r="C197"/>
      <c r="D197"/>
      <c r="E197" s="9"/>
      <c r="K197"/>
      <c r="L197"/>
      <c r="M197"/>
      <c r="N197"/>
      <c r="O197"/>
      <c r="P197"/>
      <c r="Q197"/>
      <c r="R197"/>
      <c r="S197"/>
      <c r="T197"/>
      <c r="U197"/>
      <c r="V197"/>
      <c r="W197"/>
      <c r="X197"/>
      <c r="Y197"/>
      <c r="Z197"/>
      <c r="AA197"/>
      <c r="AB197"/>
      <c r="AC197"/>
      <c r="AD197"/>
      <c r="AE197"/>
      <c r="AF197"/>
      <c r="AG197"/>
      <c r="AH197"/>
      <c r="AI197"/>
      <c r="AJ197"/>
      <c r="AK197"/>
      <c r="AL197"/>
      <c r="AM197"/>
    </row>
    <row r="198" spans="2:39" ht="12">
      <c r="B198"/>
      <c r="C198"/>
      <c r="D198"/>
      <c r="E198" s="9"/>
      <c r="K198"/>
      <c r="L198"/>
      <c r="M198"/>
      <c r="N198"/>
      <c r="O198"/>
      <c r="P198"/>
      <c r="Q198"/>
      <c r="R198"/>
      <c r="S198"/>
      <c r="T198"/>
      <c r="U198"/>
      <c r="V198"/>
      <c r="W198"/>
      <c r="X198"/>
      <c r="Y198"/>
      <c r="Z198"/>
      <c r="AA198"/>
      <c r="AB198"/>
      <c r="AC198"/>
      <c r="AD198"/>
      <c r="AE198"/>
      <c r="AF198"/>
      <c r="AG198"/>
      <c r="AH198"/>
      <c r="AI198"/>
      <c r="AJ198"/>
      <c r="AK198"/>
      <c r="AL198"/>
      <c r="AM198"/>
    </row>
  </sheetData>
  <sheetProtection/>
  <printOptions/>
  <pageMargins left="0.75" right="0.75" top="1" bottom="1" header="0.5" footer="0.5"/>
  <pageSetup orientation="portrait" paperSize="10"/>
  <drawing r:id="rId1"/>
</worksheet>
</file>

<file path=xl/worksheets/sheet8.xml><?xml version="1.0" encoding="utf-8"?>
<worksheet xmlns="http://schemas.openxmlformats.org/spreadsheetml/2006/main" xmlns:r="http://schemas.openxmlformats.org/officeDocument/2006/relationships">
  <dimension ref="A6:AI18"/>
  <sheetViews>
    <sheetView showGridLines="0" workbookViewId="0" topLeftCell="A1">
      <selection activeCell="J39" sqref="J39"/>
    </sheetView>
  </sheetViews>
  <sheetFormatPr defaultColWidth="11.57421875" defaultRowHeight="12.75"/>
  <cols>
    <col min="1" max="1" width="14.28125" style="0" customWidth="1"/>
    <col min="2" max="2" width="22.421875" style="0" customWidth="1"/>
    <col min="3" max="3" width="16.7109375" style="0" customWidth="1"/>
    <col min="4" max="4" width="7.421875" style="0" customWidth="1"/>
    <col min="5" max="16384" width="11.421875" style="0" customWidth="1"/>
  </cols>
  <sheetData>
    <row r="6" spans="1:3" ht="12">
      <c r="A6" t="s">
        <v>134</v>
      </c>
      <c r="B6" s="311" t="str">
        <f>'IRR - without CDM'!C6</f>
        <v>Project Kamojang 5 PT. Pertamina Geothermal Energy </v>
      </c>
      <c r="C6" s="311"/>
    </row>
    <row r="7" spans="1:3" ht="12">
      <c r="A7" t="s">
        <v>135</v>
      </c>
      <c r="B7" s="311">
        <f>'IRR - without CDM'!C7</f>
        <v>2.3</v>
      </c>
      <c r="C7" s="311"/>
    </row>
    <row r="8" spans="1:3" ht="12">
      <c r="A8" t="s">
        <v>136</v>
      </c>
      <c r="B8" s="311" t="str">
        <f>'IRR - without CDM'!C8</f>
        <v>Arrie Tjahyo Setiawan, Alin Pratidina</v>
      </c>
      <c r="C8" s="311"/>
    </row>
    <row r="11" spans="1:4" ht="12">
      <c r="A11" t="s">
        <v>245</v>
      </c>
      <c r="D11" t="s">
        <v>10</v>
      </c>
    </row>
    <row r="13" spans="1:35" s="273" customFormat="1" ht="12">
      <c r="A13" s="337" t="s">
        <v>222</v>
      </c>
      <c r="B13" s="338"/>
      <c r="C13" s="338" t="s">
        <v>209</v>
      </c>
      <c r="D13" s="338" t="s">
        <v>210</v>
      </c>
      <c r="E13" s="338"/>
      <c r="F13" s="339">
        <v>1</v>
      </c>
      <c r="G13" s="339">
        <v>2</v>
      </c>
      <c r="H13" s="339">
        <v>3</v>
      </c>
      <c r="I13" s="339">
        <v>4</v>
      </c>
      <c r="J13" s="339">
        <v>5</v>
      </c>
      <c r="K13" s="339">
        <v>6</v>
      </c>
      <c r="L13" s="339">
        <v>7</v>
      </c>
      <c r="M13" s="339">
        <v>8</v>
      </c>
      <c r="N13" s="339">
        <v>9</v>
      </c>
      <c r="O13" s="339">
        <v>10</v>
      </c>
      <c r="P13" s="339">
        <v>11</v>
      </c>
      <c r="Q13" s="339">
        <v>12</v>
      </c>
      <c r="R13" s="339">
        <v>13</v>
      </c>
      <c r="S13" s="339">
        <v>14</v>
      </c>
      <c r="T13" s="339">
        <v>15</v>
      </c>
      <c r="U13" s="339">
        <v>16</v>
      </c>
      <c r="V13" s="339">
        <v>17</v>
      </c>
      <c r="W13" s="339">
        <v>18</v>
      </c>
      <c r="X13" s="339">
        <v>19</v>
      </c>
      <c r="Y13" s="339">
        <v>20</v>
      </c>
      <c r="Z13" s="339">
        <v>21</v>
      </c>
      <c r="AA13" s="339">
        <v>22</v>
      </c>
      <c r="AB13" s="339">
        <v>23</v>
      </c>
      <c r="AC13" s="339">
        <v>24</v>
      </c>
      <c r="AD13" s="339">
        <v>25</v>
      </c>
      <c r="AE13" s="339">
        <v>26</v>
      </c>
      <c r="AF13" s="339">
        <v>27</v>
      </c>
      <c r="AG13" s="339">
        <v>28</v>
      </c>
      <c r="AH13" s="339">
        <v>29</v>
      </c>
      <c r="AI13" s="339">
        <v>30</v>
      </c>
    </row>
    <row r="14" spans="1:35" ht="12">
      <c r="A14" s="399"/>
      <c r="B14" s="400"/>
      <c r="C14" s="400"/>
      <c r="D14" s="401"/>
      <c r="E14" s="401"/>
      <c r="F14" s="401"/>
      <c r="G14" s="401"/>
      <c r="H14" s="401"/>
      <c r="I14" s="401"/>
      <c r="J14" s="401"/>
      <c r="K14" s="401"/>
      <c r="L14" s="401"/>
      <c r="M14" s="401"/>
      <c r="N14" s="401"/>
      <c r="O14" s="401"/>
      <c r="P14" s="401"/>
      <c r="Q14" s="401"/>
      <c r="R14" s="401"/>
      <c r="S14" s="401"/>
      <c r="T14" s="401"/>
      <c r="U14" s="401"/>
      <c r="V14" s="401"/>
      <c r="W14" s="401"/>
      <c r="X14" s="401"/>
      <c r="Y14" s="401"/>
      <c r="Z14" s="401"/>
      <c r="AA14" s="401"/>
      <c r="AB14" s="401"/>
      <c r="AC14" s="401"/>
      <c r="AD14" s="401"/>
      <c r="AE14" s="401"/>
      <c r="AF14" s="401"/>
      <c r="AG14" s="401"/>
      <c r="AH14" s="401"/>
      <c r="AI14" s="401"/>
    </row>
    <row r="15" spans="1:35" ht="12">
      <c r="A15" s="340" t="s">
        <v>212</v>
      </c>
      <c r="B15" s="341"/>
      <c r="C15" s="412">
        <v>20</v>
      </c>
      <c r="D15" s="402">
        <f>1/C15</f>
        <v>0.05</v>
      </c>
      <c r="E15" s="342">
        <f>Summary!F88</f>
        <v>45600000</v>
      </c>
      <c r="F15" s="403">
        <f>$E$15*$D$15</f>
        <v>2280000</v>
      </c>
      <c r="G15" s="403">
        <f aca="true" t="shared" si="0" ref="G15:Y15">$E$15*$D$15</f>
        <v>2280000</v>
      </c>
      <c r="H15" s="403">
        <f t="shared" si="0"/>
        <v>2280000</v>
      </c>
      <c r="I15" s="403">
        <f t="shared" si="0"/>
        <v>2280000</v>
      </c>
      <c r="J15" s="403">
        <f t="shared" si="0"/>
        <v>2280000</v>
      </c>
      <c r="K15" s="403">
        <f t="shared" si="0"/>
        <v>2280000</v>
      </c>
      <c r="L15" s="403">
        <f t="shared" si="0"/>
        <v>2280000</v>
      </c>
      <c r="M15" s="403">
        <f t="shared" si="0"/>
        <v>2280000</v>
      </c>
      <c r="N15" s="403">
        <f t="shared" si="0"/>
        <v>2280000</v>
      </c>
      <c r="O15" s="403">
        <f t="shared" si="0"/>
        <v>2280000</v>
      </c>
      <c r="P15" s="403">
        <f t="shared" si="0"/>
        <v>2280000</v>
      </c>
      <c r="Q15" s="403">
        <f t="shared" si="0"/>
        <v>2280000</v>
      </c>
      <c r="R15" s="403">
        <f t="shared" si="0"/>
        <v>2280000</v>
      </c>
      <c r="S15" s="403">
        <f t="shared" si="0"/>
        <v>2280000</v>
      </c>
      <c r="T15" s="403">
        <f t="shared" si="0"/>
        <v>2280000</v>
      </c>
      <c r="U15" s="403">
        <f t="shared" si="0"/>
        <v>2280000</v>
      </c>
      <c r="V15" s="403">
        <f t="shared" si="0"/>
        <v>2280000</v>
      </c>
      <c r="W15" s="403">
        <f t="shared" si="0"/>
        <v>2280000</v>
      </c>
      <c r="X15" s="403">
        <f t="shared" si="0"/>
        <v>2280000</v>
      </c>
      <c r="Y15" s="403">
        <f t="shared" si="0"/>
        <v>2280000</v>
      </c>
      <c r="Z15" s="334"/>
      <c r="AA15" s="334"/>
      <c r="AB15" s="334"/>
      <c r="AC15" s="334"/>
      <c r="AD15" s="334"/>
      <c r="AE15" s="334"/>
      <c r="AF15" s="334"/>
      <c r="AG15" s="334"/>
      <c r="AH15" s="334"/>
      <c r="AI15" s="334"/>
    </row>
    <row r="16" spans="1:35" ht="12">
      <c r="A16" s="340" t="s">
        <v>89</v>
      </c>
      <c r="B16" s="341"/>
      <c r="C16" s="412">
        <v>10</v>
      </c>
      <c r="D16" s="402">
        <f>1/C16</f>
        <v>0.1</v>
      </c>
      <c r="E16" s="342">
        <f>Summary!D88</f>
        <v>36600000</v>
      </c>
      <c r="F16" s="342">
        <f>$E$16*$D$16</f>
        <v>3660000</v>
      </c>
      <c r="G16" s="342">
        <f aca="true" t="shared" si="1" ref="G16:O16">$E$16*$D$16</f>
        <v>3660000</v>
      </c>
      <c r="H16" s="342">
        <f t="shared" si="1"/>
        <v>3660000</v>
      </c>
      <c r="I16" s="342">
        <f t="shared" si="1"/>
        <v>3660000</v>
      </c>
      <c r="J16" s="342">
        <f t="shared" si="1"/>
        <v>3660000</v>
      </c>
      <c r="K16" s="342">
        <f t="shared" si="1"/>
        <v>3660000</v>
      </c>
      <c r="L16" s="342">
        <f t="shared" si="1"/>
        <v>3660000</v>
      </c>
      <c r="M16" s="342">
        <f t="shared" si="1"/>
        <v>3660000</v>
      </c>
      <c r="N16" s="342">
        <f t="shared" si="1"/>
        <v>3660000</v>
      </c>
      <c r="O16" s="342">
        <f t="shared" si="1"/>
        <v>3660000</v>
      </c>
      <c r="P16" s="334"/>
      <c r="Q16" s="334"/>
      <c r="R16" s="334"/>
      <c r="S16" s="334"/>
      <c r="T16" s="334"/>
      <c r="U16" s="334"/>
      <c r="V16" s="334"/>
      <c r="W16" s="334"/>
      <c r="X16" s="334"/>
      <c r="Y16" s="334"/>
      <c r="Z16" s="334"/>
      <c r="AA16" s="334"/>
      <c r="AB16" s="334"/>
      <c r="AC16" s="334"/>
      <c r="AD16" s="334"/>
      <c r="AE16" s="334"/>
      <c r="AF16" s="334"/>
      <c r="AG16" s="334"/>
      <c r="AH16" s="334"/>
      <c r="AI16" s="334"/>
    </row>
    <row r="17" spans="1:35" ht="12">
      <c r="A17" s="340" t="s">
        <v>258</v>
      </c>
      <c r="B17" s="341"/>
      <c r="C17" s="341"/>
      <c r="D17" s="404"/>
      <c r="E17" s="342">
        <f>'IRR - without CDM'!O32</f>
        <v>13930000</v>
      </c>
      <c r="F17" s="334"/>
      <c r="G17" s="334"/>
      <c r="H17" s="334"/>
      <c r="I17" s="334"/>
      <c r="J17" s="334"/>
      <c r="K17" s="334"/>
      <c r="L17" s="334"/>
      <c r="M17" s="342">
        <f aca="true" t="shared" si="2" ref="M17:V17">$D$16*$E$17</f>
        <v>1393000</v>
      </c>
      <c r="N17" s="342">
        <f t="shared" si="2"/>
        <v>1393000</v>
      </c>
      <c r="O17" s="342">
        <f t="shared" si="2"/>
        <v>1393000</v>
      </c>
      <c r="P17" s="342">
        <f t="shared" si="2"/>
        <v>1393000</v>
      </c>
      <c r="Q17" s="342">
        <f t="shared" si="2"/>
        <v>1393000</v>
      </c>
      <c r="R17" s="342">
        <f t="shared" si="2"/>
        <v>1393000</v>
      </c>
      <c r="S17" s="342">
        <f t="shared" si="2"/>
        <v>1393000</v>
      </c>
      <c r="T17" s="342">
        <f t="shared" si="2"/>
        <v>1393000</v>
      </c>
      <c r="U17" s="342">
        <f t="shared" si="2"/>
        <v>1393000</v>
      </c>
      <c r="V17" s="342">
        <f t="shared" si="2"/>
        <v>1393000</v>
      </c>
      <c r="W17" s="342"/>
      <c r="X17" s="342"/>
      <c r="Y17" s="342"/>
      <c r="Z17" s="342"/>
      <c r="AA17" s="342"/>
      <c r="AB17" s="342"/>
      <c r="AC17" s="342"/>
      <c r="AD17" s="342"/>
      <c r="AE17" s="342"/>
      <c r="AF17" s="342"/>
      <c r="AG17" s="342"/>
      <c r="AH17" s="342"/>
      <c r="AI17" s="342"/>
    </row>
    <row r="18" spans="1:35" s="15" customFormat="1" ht="12">
      <c r="A18" s="407" t="s">
        <v>208</v>
      </c>
      <c r="B18" s="408"/>
      <c r="C18" s="408"/>
      <c r="D18" s="409"/>
      <c r="E18" s="410"/>
      <c r="F18" s="411">
        <f aca="true" t="shared" si="3" ref="F18:AI18">SUM(F15:F17)</f>
        <v>5940000</v>
      </c>
      <c r="G18" s="411">
        <f t="shared" si="3"/>
        <v>5940000</v>
      </c>
      <c r="H18" s="411">
        <f t="shared" si="3"/>
        <v>5940000</v>
      </c>
      <c r="I18" s="411">
        <f t="shared" si="3"/>
        <v>5940000</v>
      </c>
      <c r="J18" s="411">
        <f t="shared" si="3"/>
        <v>5940000</v>
      </c>
      <c r="K18" s="411">
        <f t="shared" si="3"/>
        <v>5940000</v>
      </c>
      <c r="L18" s="411">
        <f t="shared" si="3"/>
        <v>5940000</v>
      </c>
      <c r="M18" s="411">
        <f t="shared" si="3"/>
        <v>7333000</v>
      </c>
      <c r="N18" s="411">
        <f t="shared" si="3"/>
        <v>7333000</v>
      </c>
      <c r="O18" s="411">
        <f t="shared" si="3"/>
        <v>7333000</v>
      </c>
      <c r="P18" s="411">
        <f t="shared" si="3"/>
        <v>3673000</v>
      </c>
      <c r="Q18" s="411">
        <f t="shared" si="3"/>
        <v>3673000</v>
      </c>
      <c r="R18" s="411">
        <f t="shared" si="3"/>
        <v>3673000</v>
      </c>
      <c r="S18" s="411">
        <f t="shared" si="3"/>
        <v>3673000</v>
      </c>
      <c r="T18" s="411">
        <f t="shared" si="3"/>
        <v>3673000</v>
      </c>
      <c r="U18" s="411">
        <f t="shared" si="3"/>
        <v>3673000</v>
      </c>
      <c r="V18" s="411">
        <f t="shared" si="3"/>
        <v>3673000</v>
      </c>
      <c r="W18" s="411">
        <f t="shared" si="3"/>
        <v>2280000</v>
      </c>
      <c r="X18" s="411">
        <f t="shared" si="3"/>
        <v>2280000</v>
      </c>
      <c r="Y18" s="411">
        <f t="shared" si="3"/>
        <v>2280000</v>
      </c>
      <c r="Z18" s="411">
        <f t="shared" si="3"/>
        <v>0</v>
      </c>
      <c r="AA18" s="411">
        <f t="shared" si="3"/>
        <v>0</v>
      </c>
      <c r="AB18" s="411">
        <f t="shared" si="3"/>
        <v>0</v>
      </c>
      <c r="AC18" s="411">
        <f t="shared" si="3"/>
        <v>0</v>
      </c>
      <c r="AD18" s="411">
        <f t="shared" si="3"/>
        <v>0</v>
      </c>
      <c r="AE18" s="411">
        <f t="shared" si="3"/>
        <v>0</v>
      </c>
      <c r="AF18" s="411">
        <f t="shared" si="3"/>
        <v>0</v>
      </c>
      <c r="AG18" s="411">
        <f t="shared" si="3"/>
        <v>0</v>
      </c>
      <c r="AH18" s="411">
        <f t="shared" si="3"/>
        <v>0</v>
      </c>
      <c r="AI18" s="411">
        <f t="shared" si="3"/>
        <v>0</v>
      </c>
    </row>
  </sheetData>
  <sheetProtection/>
  <printOptions/>
  <pageMargins left="0.75" right="0.75" top="1" bottom="1" header="0.5" footer="0.5"/>
  <pageSetup orientation="portrait" paperSize="10"/>
  <drawing r:id="rId1"/>
</worksheet>
</file>

<file path=xl/worksheets/sheet9.xml><?xml version="1.0" encoding="utf-8"?>
<worksheet xmlns="http://schemas.openxmlformats.org/spreadsheetml/2006/main" xmlns:r="http://schemas.openxmlformats.org/officeDocument/2006/relationships">
  <dimension ref="A6:N32"/>
  <sheetViews>
    <sheetView showGridLines="0" zoomScale="125" zoomScaleNormal="125" workbookViewId="0" topLeftCell="A14">
      <selection activeCell="E12" sqref="E12"/>
    </sheetView>
  </sheetViews>
  <sheetFormatPr defaultColWidth="11.57421875" defaultRowHeight="12.75"/>
  <cols>
    <col min="1" max="1" width="12.00390625" style="0" customWidth="1"/>
    <col min="2" max="12" width="11.421875" style="0" customWidth="1"/>
    <col min="13" max="13" width="14.00390625" style="0" customWidth="1"/>
    <col min="14" max="14" width="84.7109375" style="0" customWidth="1"/>
    <col min="15" max="16384" width="11.421875" style="0" customWidth="1"/>
  </cols>
  <sheetData>
    <row r="6" spans="1:2" ht="12">
      <c r="A6" t="s">
        <v>134</v>
      </c>
      <c r="B6" t="str">
        <f>Depreciation!B6</f>
        <v>Project Kamojang 5 PT. Pertamina Geothermal Energy </v>
      </c>
    </row>
    <row r="7" spans="1:2" ht="12">
      <c r="A7" t="s">
        <v>135</v>
      </c>
      <c r="B7" s="311">
        <f>Depreciation!B7</f>
        <v>2.3</v>
      </c>
    </row>
    <row r="8" spans="1:2" ht="12">
      <c r="A8" t="s">
        <v>136</v>
      </c>
      <c r="B8" t="str">
        <f>Depreciation!B8</f>
        <v>Arrie Tjahyo Setiawan, Alin Pratidina</v>
      </c>
    </row>
    <row r="11" ht="12">
      <c r="A11" s="15" t="s">
        <v>276</v>
      </c>
    </row>
    <row r="13" spans="1:8" ht="12">
      <c r="A13" s="448" t="s">
        <v>41</v>
      </c>
      <c r="H13" s="15" t="s">
        <v>199</v>
      </c>
    </row>
    <row r="14" spans="1:8" ht="12">
      <c r="A14" s="449" t="s">
        <v>42</v>
      </c>
      <c r="H14" s="449" t="s">
        <v>62</v>
      </c>
    </row>
    <row r="15" ht="12">
      <c r="A15" s="449"/>
    </row>
    <row r="21" ht="12.75">
      <c r="A21" s="15" t="s">
        <v>94</v>
      </c>
    </row>
    <row r="23" ht="12.75">
      <c r="A23" t="s">
        <v>40</v>
      </c>
    </row>
    <row r="29" ht="12">
      <c r="H29" t="s">
        <v>200</v>
      </c>
    </row>
    <row r="30" spans="1:3" ht="12">
      <c r="A30" t="s">
        <v>43</v>
      </c>
      <c r="C30" s="300">
        <v>0.125</v>
      </c>
    </row>
    <row r="31" spans="1:14" ht="12">
      <c r="A31" s="450" t="s">
        <v>95</v>
      </c>
      <c r="B31" s="450"/>
      <c r="C31" s="451">
        <f>((1+C30)*(1+C32))-1</f>
        <v>0.17908999999999997</v>
      </c>
      <c r="H31" s="323">
        <v>2011</v>
      </c>
      <c r="I31" s="323">
        <v>2012</v>
      </c>
      <c r="J31" s="323">
        <v>2013</v>
      </c>
      <c r="K31" s="323">
        <v>2014</v>
      </c>
      <c r="L31" s="323">
        <v>2015</v>
      </c>
      <c r="M31" s="323" t="s">
        <v>305</v>
      </c>
      <c r="N31" s="323" t="s">
        <v>306</v>
      </c>
    </row>
    <row r="32" spans="1:14" ht="120">
      <c r="A32" s="459" t="s">
        <v>198</v>
      </c>
      <c r="B32" s="457"/>
      <c r="C32" s="458">
        <f>M32</f>
        <v>0.04808</v>
      </c>
      <c r="H32" s="454">
        <v>0.05812</v>
      </c>
      <c r="I32" s="454">
        <v>0.04967</v>
      </c>
      <c r="J32" s="454">
        <v>0.04645</v>
      </c>
      <c r="K32" s="454">
        <v>0.0442</v>
      </c>
      <c r="L32" s="454">
        <v>0.04196</v>
      </c>
      <c r="M32" s="455">
        <f>AVERAGE(H32:L32)</f>
        <v>0.04808</v>
      </c>
      <c r="N32" s="456" t="s">
        <v>239</v>
      </c>
    </row>
  </sheetData>
  <sheetProtection/>
  <printOptions/>
  <pageMargins left="0.75" right="0.75" top="1" bottom="1" header="0.5" footer="0.5"/>
  <pageSetup orientation="portrait" paperSize="1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EcoSecurities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dc:creator>
  <cp:keywords/>
  <dc:description/>
  <cp:lastModifiedBy>Ratna Nawang Sari</cp:lastModifiedBy>
  <cp:lastPrinted>2012-01-19T02:39:10Z</cp:lastPrinted>
  <dcterms:created xsi:type="dcterms:W3CDTF">2001-06-13T09:39:49Z</dcterms:created>
  <dcterms:modified xsi:type="dcterms:W3CDTF">2013-09-12T08:13:47Z</dcterms:modified>
  <cp:category/>
  <cp:version/>
  <cp:contentType/>
  <cp:contentStatus/>
</cp:coreProperties>
</file>